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trlProps/ctrlProp3.xml" ContentType="application/vnd.ms-excel.controlproperties+xml"/>
  <Override PartName="/xl/drawings/drawing11.xml" ContentType="application/vnd.openxmlformats-officedocument.drawing+xml"/>
  <Override PartName="/xl/ctrlProps/ctrlProp4.xml" ContentType="application/vnd.ms-excel.controlproperties+xml"/>
  <Override PartName="/xl/drawings/drawing12.xml" ContentType="application/vnd.openxmlformats-officedocument.drawing+xml"/>
  <Override PartName="/xl/ctrlProps/ctrlProp5.xml" ContentType="application/vnd.ms-excel.controlproperties+xml"/>
  <Override PartName="/xl/drawings/drawing13.xml" ContentType="application/vnd.openxmlformats-officedocument.drawing+xml"/>
  <Override PartName="/xl/ctrlProps/ctrlProp6.xml" ContentType="application/vnd.ms-excel.controlproperties+xml"/>
  <Override PartName="/xl/drawings/drawing14.xml" ContentType="application/vnd.openxmlformats-officedocument.drawing+xml"/>
  <Override PartName="/xl/ctrlProps/ctrlProp7.xml" ContentType="application/vnd.ms-excel.controlproperties+xml"/>
  <Override PartName="/xl/drawings/drawing15.xml" ContentType="application/vnd.openxmlformats-officedocument.drawing+xml"/>
  <Override PartName="/xl/ctrlProps/ctrlProp8.xml" ContentType="application/vnd.ms-excel.controlproperties+xml"/>
  <Override PartName="/xl/drawings/drawing16.xml" ContentType="application/vnd.openxmlformats-officedocument.drawing+xml"/>
  <Override PartName="/xl/ctrlProps/ctrlProp9.xml" ContentType="application/vnd.ms-excel.controlproperties+xml"/>
  <Override PartName="/xl/drawings/drawing17.xml" ContentType="application/vnd.openxmlformats-officedocument.drawing+xml"/>
  <Override PartName="/xl/ctrlProps/ctrlProp10.xml" ContentType="application/vnd.ms-excel.controlproperties+xml"/>
  <Override PartName="/xl/drawings/drawing18.xml" ContentType="application/vnd.openxmlformats-officedocument.drawing+xml"/>
  <Override PartName="/xl/ctrlProps/ctrlProp11.xml" ContentType="application/vnd.ms-excel.controlproperties+xml"/>
  <Override PartName="/xl/drawings/drawing19.xml" ContentType="application/vnd.openxmlformats-officedocument.drawing+xml"/>
  <Override PartName="/xl/ctrlProps/ctrlProp12.xml" ContentType="application/vnd.ms-excel.controlproperties+xml"/>
  <Override PartName="/xl/drawings/drawing20.xml" ContentType="application/vnd.openxmlformats-officedocument.drawing+xml"/>
  <Override PartName="/xl/ctrlProps/ctrlProp13.xml" ContentType="application/vnd.ms-excel.controlproperties+xml"/>
  <Override PartName="/xl/drawings/drawing21.xml" ContentType="application/vnd.openxmlformats-officedocument.drawing+xml"/>
  <Override PartName="/xl/ctrlProps/ctrlProp14.xml" ContentType="application/vnd.ms-excel.controlproperties+xml"/>
  <Override PartName="/xl/drawings/drawing22.xml" ContentType="application/vnd.openxmlformats-officedocument.drawing+xml"/>
  <Override PartName="/xl/ctrlProps/ctrlProp15.xml" ContentType="application/vnd.ms-excel.controlproperties+xml"/>
  <Override PartName="/xl/drawings/drawing23.xml" ContentType="application/vnd.openxmlformats-officedocument.drawing+xml"/>
  <Override PartName="/xl/ctrlProps/ctrlProp16.xml" ContentType="application/vnd.ms-excel.controlproperties+xml"/>
  <Override PartName="/xl/drawings/drawing24.xml" ContentType="application/vnd.openxmlformats-officedocument.drawing+xml"/>
  <Override PartName="/xl/ctrlProps/ctrlProp17.xml" ContentType="application/vnd.ms-excel.controlproperties+xml"/>
  <Override PartName="/xl/drawings/drawing25.xml" ContentType="application/vnd.openxmlformats-officedocument.drawing+xml"/>
  <Override PartName="/xl/ctrlProps/ctrlProp18.xml" ContentType="application/vnd.ms-excel.controlproperties+xml"/>
  <Override PartName="/xl/drawings/drawing26.xml" ContentType="application/vnd.openxmlformats-officedocument.drawing+xml"/>
  <Override PartName="/xl/ctrlProps/ctrlProp19.xml" ContentType="application/vnd.ms-excel.controlproperties+xml"/>
  <Override PartName="/xl/drawings/drawing27.xml" ContentType="application/vnd.openxmlformats-officedocument.drawing+xml"/>
  <Override PartName="/xl/ctrlProps/ctrlProp20.xml" ContentType="application/vnd.ms-excel.controlproperties+xml"/>
  <Override PartName="/xl/drawings/drawing28.xml" ContentType="application/vnd.openxmlformats-officedocument.drawing+xml"/>
  <Override PartName="/xl/ctrlProps/ctrlProp21.xml" ContentType="application/vnd.ms-excel.controlproperties+xml"/>
  <Override PartName="/xl/drawings/drawing29.xml" ContentType="application/vnd.openxmlformats-officedocument.drawing+xml"/>
  <Override PartName="/xl/ctrlProps/ctrlProp22.xml" ContentType="application/vnd.ms-excel.controlproperties+xml"/>
  <Override PartName="/xl/drawings/drawing30.xml" ContentType="application/vnd.openxmlformats-officedocument.drawing+xml"/>
  <Override PartName="/xl/ctrlProps/ctrlProp23.xml" ContentType="application/vnd.ms-excel.controlproperties+xml"/>
  <Override PartName="/xl/drawings/drawing31.xml" ContentType="application/vnd.openxmlformats-officedocument.drawing+xml"/>
  <Override PartName="/xl/ctrlProps/ctrlProp24.xml" ContentType="application/vnd.ms-excel.controlproperties+xml"/>
  <Override PartName="/xl/drawings/drawing32.xml" ContentType="application/vnd.openxmlformats-officedocument.drawing+xml"/>
  <Override PartName="/xl/ctrlProps/ctrlProp25.xml" ContentType="application/vnd.ms-excel.controlproperties+xml"/>
  <Override PartName="/xl/drawings/drawing33.xml" ContentType="application/vnd.openxmlformats-officedocument.drawing+xml"/>
  <Override PartName="/xl/ctrlProps/ctrlProp26.xml" ContentType="application/vnd.ms-excel.controlproperties+xml"/>
  <Override PartName="/xl/drawings/drawing34.xml" ContentType="application/vnd.openxmlformats-officedocument.drawing+xml"/>
  <Override PartName="/xl/ctrlProps/ctrlProp27.xml" ContentType="application/vnd.ms-excel.controlproperties+xml"/>
  <Override PartName="/xl/drawings/drawing35.xml" ContentType="application/vnd.openxmlformats-officedocument.drawing+xml"/>
  <Override PartName="/xl/ctrlProps/ctrlProp28.xml" ContentType="application/vnd.ms-excel.controlproperties+xml"/>
  <Override PartName="/xl/drawings/drawing36.xml" ContentType="application/vnd.openxmlformats-officedocument.drawing+xml"/>
  <Override PartName="/xl/ctrlProps/ctrlProp29.xml" ContentType="application/vnd.ms-excel.controlproperties+xml"/>
  <Override PartName="/xl/drawings/drawing37.xml" ContentType="application/vnd.openxmlformats-officedocument.drawing+xml"/>
  <Override PartName="/xl/ctrlProps/ctrlProp30.xml" ContentType="application/vnd.ms-excel.controlproperties+xml"/>
  <Override PartName="/xl/drawings/drawing38.xml" ContentType="application/vnd.openxmlformats-officedocument.drawing+xml"/>
  <Override PartName="/xl/ctrlProps/ctrlProp31.xml" ContentType="application/vnd.ms-excel.controlproperties+xml"/>
  <Override PartName="/xl/drawings/drawing39.xml" ContentType="application/vnd.openxmlformats-officedocument.drawing+xml"/>
  <Override PartName="/xl/ctrlProps/ctrlProp32.xml" ContentType="application/vnd.ms-excel.controlproperties+xml"/>
  <Override PartName="/xl/drawings/drawing40.xml" ContentType="application/vnd.openxmlformats-officedocument.drawing+xml"/>
  <Override PartName="/xl/ctrlProps/ctrlProp33.xml" ContentType="application/vnd.ms-excel.controlproperties+xml"/>
  <Override PartName="/xl/drawings/drawing41.xml" ContentType="application/vnd.openxmlformats-officedocument.drawing+xml"/>
  <Override PartName="/xl/ctrlProps/ctrlProp34.xml" ContentType="application/vnd.ms-excel.controlproperties+xml"/>
  <Override PartName="/xl/drawings/drawing42.xml" ContentType="application/vnd.openxmlformats-officedocument.drawing+xml"/>
  <Override PartName="/xl/ctrlProps/ctrlProp35.xml" ContentType="application/vnd.ms-excel.controlproperties+xml"/>
  <Override PartName="/xl/drawings/drawing43.xml" ContentType="application/vnd.openxmlformats-officedocument.drawing+xml"/>
  <Override PartName="/xl/ctrlProps/ctrlProp36.xml" ContentType="application/vnd.ms-excel.controlproperties+xml"/>
  <Override PartName="/xl/drawings/drawing44.xml" ContentType="application/vnd.openxmlformats-officedocument.drawing+xml"/>
  <Override PartName="/xl/ctrlProps/ctrlProp37.xml" ContentType="application/vnd.ms-excel.controlproperties+xml"/>
  <Override PartName="/xl/drawings/drawing45.xml" ContentType="application/vnd.openxmlformats-officedocument.drawing+xml"/>
  <Override PartName="/xl/ctrlProps/ctrlProp38.xml" ContentType="application/vnd.ms-excel.controlproperties+xml"/>
  <Override PartName="/xl/drawings/drawing46.xml" ContentType="application/vnd.openxmlformats-officedocument.drawing+xml"/>
  <Override PartName="/xl/ctrlProps/ctrlProp39.xml" ContentType="application/vnd.ms-excel.controlproperties+xml"/>
  <Override PartName="/xl/drawings/drawing47.xml" ContentType="application/vnd.openxmlformats-officedocument.drawing+xml"/>
  <Override PartName="/xl/ctrlProps/ctrlProp40.xml" ContentType="application/vnd.ms-excel.controlproperties+xml"/>
  <Override PartName="/xl/drawings/drawing48.xml" ContentType="application/vnd.openxmlformats-officedocument.drawing+xml"/>
  <Override PartName="/xl/ctrlProps/ctrlProp41.xml" ContentType="application/vnd.ms-excel.controlproperties+xml"/>
  <Override PartName="/xl/drawings/drawing49.xml" ContentType="application/vnd.openxmlformats-officedocument.drawing+xml"/>
  <Override PartName="/xl/ctrlProps/ctrlProp42.xml" ContentType="application/vnd.ms-excel.controlproperties+xml"/>
  <Override PartName="/xl/drawings/drawing50.xml" ContentType="application/vnd.openxmlformats-officedocument.drawing+xml"/>
  <Override PartName="/xl/ctrlProps/ctrlProp43.xml" ContentType="application/vnd.ms-excel.controlproperties+xml"/>
  <Override PartName="/xl/drawings/drawing51.xml" ContentType="application/vnd.openxmlformats-officedocument.drawing+xml"/>
  <Override PartName="/xl/ctrlProps/ctrlProp44.xml" ContentType="application/vnd.ms-excel.controlproperties+xml"/>
  <Override PartName="/xl/drawings/drawing52.xml" ContentType="application/vnd.openxmlformats-officedocument.drawing+xml"/>
  <Override PartName="/xl/ctrlProps/ctrlProp4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6F83688-1F17-4558-835C-C9E26BFF1953}" xr6:coauthVersionLast="47" xr6:coauthVersionMax="47" xr10:uidLastSave="{00000000-0000-0000-0000-000000000000}"/>
  <bookViews>
    <workbookView xWindow="-120" yWindow="-120" windowWidth="20730" windowHeight="11040" firstSheet="6" activeTab="6" xr2:uid="{00000000-000D-0000-FFFF-FFFF00000000}"/>
  </bookViews>
  <sheets>
    <sheet name="Weekly Timesheet" sheetId="1" state="hidden" r:id="rId1"/>
    <sheet name="Bi-weekly Timesheet" sheetId="4" state="hidden" r:id="rId2"/>
    <sheet name="15" sheetId="35" state="hidden" r:id="rId3"/>
    <sheet name="Sheet2" sheetId="62" state="hidden" r:id="rId4"/>
    <sheet name="30" sheetId="59" state="hidden" r:id="rId5"/>
    <sheet name="AUG15" sheetId="64" state="hidden" r:id="rId6"/>
    <sheet name="SEPT 30" sheetId="65" r:id="rId7"/>
    <sheet name="ADMIN (2)" sheetId="33" state="hidden" r:id="rId8"/>
    <sheet name="Data" sheetId="2" state="hidden" r:id="rId9"/>
    <sheet name="PS(G)" sheetId="89" state="hidden" r:id="rId10"/>
    <sheet name="PS(B)" sheetId="90" state="hidden" r:id="rId11"/>
    <sheet name="PS(F)" sheetId="113" state="hidden" r:id="rId12"/>
    <sheet name="PAALAN" sheetId="92" state="hidden" r:id="rId13"/>
    <sheet name="PATRICIO" sheetId="98" state="hidden" r:id="rId14"/>
    <sheet name="Fixed Salary - Sample" sheetId="94" r:id="rId15"/>
    <sheet name="MALAZARTE" sheetId="88" state="hidden" r:id="rId16"/>
    <sheet name="PAREDES" sheetId="67" state="hidden" r:id="rId17"/>
    <sheet name="ELEAZAR" sheetId="129" state="hidden" r:id="rId18"/>
    <sheet name="BUNGAY" sheetId="118" state="hidden" r:id="rId19"/>
    <sheet name="BASA" sheetId="102" state="hidden" r:id="rId20"/>
    <sheet name="AZMAN" sheetId="127" state="hidden" r:id="rId21"/>
    <sheet name="ADRIANO" sheetId="123" state="hidden" r:id="rId22"/>
    <sheet name="BARORO" sheetId="117" state="hidden" r:id="rId23"/>
    <sheet name="RUIZ" sheetId="125" state="hidden" r:id="rId24"/>
    <sheet name="GAID" sheetId="95" state="hidden" r:id="rId25"/>
    <sheet name="GUERZO" sheetId="74" state="hidden" r:id="rId26"/>
    <sheet name="MACATANGAY" sheetId="73" state="hidden" r:id="rId27"/>
    <sheet name="ALEJANDRINO" sheetId="75" state="hidden" r:id="rId28"/>
    <sheet name="ABREA" sheetId="111" state="hidden" r:id="rId29"/>
    <sheet name="DELA CRUZ" sheetId="101" state="hidden" r:id="rId30"/>
    <sheet name="CAYAPAS" sheetId="115" state="hidden" r:id="rId31"/>
    <sheet name="ACOMPAÑADO" sheetId="82" state="hidden" r:id="rId32"/>
    <sheet name="CONSUELO" sheetId="80" state="hidden" r:id="rId33"/>
    <sheet name="Accntng Clerk Salary Sample  " sheetId="81" r:id="rId34"/>
    <sheet name="HERRERA" sheetId="110" state="hidden" r:id="rId35"/>
    <sheet name="GALLARDO" sheetId="99" state="hidden" r:id="rId36"/>
    <sheet name="EDON" sheetId="96" state="hidden" r:id="rId37"/>
    <sheet name="COROSO" sheetId="126" state="hidden" r:id="rId38"/>
    <sheet name="NICOLAS" sheetId="122" state="hidden" r:id="rId39"/>
    <sheet name="AURELIO" sheetId="68" state="hidden" r:id="rId40"/>
    <sheet name="MOHAMMAD" sheetId="112" state="hidden" r:id="rId41"/>
    <sheet name="LAGROSA" sheetId="120" state="hidden" r:id="rId42"/>
    <sheet name="BATUL" sheetId="45" state="hidden" r:id="rId43"/>
    <sheet name="RODRIGUEZ" sheetId="124" state="hidden" r:id="rId44"/>
    <sheet name="GABO" sheetId="119" state="hidden" r:id="rId45"/>
    <sheet name="ORBISO" sheetId="116" state="hidden" r:id="rId46"/>
    <sheet name="BECARO" sheetId="108" state="hidden" r:id="rId47"/>
    <sheet name="ESTARES" sheetId="93" state="hidden" r:id="rId48"/>
    <sheet name="DAGOT" sheetId="55" state="hidden" r:id="rId49"/>
    <sheet name="TRIPOLI" sheetId="106" state="hidden" r:id="rId50"/>
    <sheet name="DIOLA" sheetId="97" state="hidden" r:id="rId51"/>
    <sheet name="LEAL" sheetId="107" state="hidden" r:id="rId52"/>
    <sheet name="COMOSO" sheetId="36" state="hidden" r:id="rId53"/>
    <sheet name="ADELANTAR" sheetId="58" state="hidden" r:id="rId54"/>
    <sheet name="SUCIA" sheetId="69" state="hidden" r:id="rId55"/>
  </sheets>
  <definedNames>
    <definedName name="_xlnm._FilterDatabase" localSheetId="2" hidden="1">'15'!$B$8:$B$74</definedName>
    <definedName name="_xlnm._FilterDatabase" localSheetId="4" hidden="1">'30'!$B$8:$B$77</definedName>
    <definedName name="_xlnm._FilterDatabase" localSheetId="5" hidden="1">'AUG15'!$A$8:$A$77</definedName>
    <definedName name="_xlnm._FilterDatabase" localSheetId="6" hidden="1">'SEPT 30'!$A$6:$A$73</definedName>
    <definedName name="DateCalc" localSheetId="28">#REF!:INDEX(#REF!,DAY(DATE(ABREA!$B$11,MATCH(ABREA!$C$11,#REF!,0)+1,0)))</definedName>
    <definedName name="DateCalc" localSheetId="33">#REF!:INDEX(#REF!,DAY(DATE('Accntng Clerk Salary Sample  '!$B$11,MATCH('Accntng Clerk Salary Sample  '!$C$11,#REF!,0)+1,0)))</definedName>
    <definedName name="DateCalc" localSheetId="31">#REF!:INDEX(#REF!,DAY(DATE(ACOMPAÑADO!$B$11,MATCH(ACOMPAÑADO!$C$11,#REF!,0)+1,0)))</definedName>
    <definedName name="DateCalc" localSheetId="53">Data!$C$2:INDEX(Data!$C$2:$C$32,DAY(DATE(ADELANTAR!$B$11,MATCH(ADELANTAR!$C$11,Data!$B$2:$B$13,0)+1,0)))</definedName>
    <definedName name="DateCalc" localSheetId="7">Data!$C$2:INDEX(Data!$C$2:$C$32,DAY(DATE('ADMIN (2)'!$E$10,MATCH('ADMIN (2)'!$F$10,Data!$B$2:$B$13,0)+1,0)))</definedName>
    <definedName name="DateCalc" localSheetId="21">#REF!:INDEX(#REF!,DAY(DATE(ADRIANO!$B$11,MATCH(ADRIANO!$C$11,#REF!,0)+1,0)))</definedName>
    <definedName name="DateCalc" localSheetId="27">#REF!:INDEX(#REF!,DAY(DATE(ALEJANDRINO!$B$11,MATCH(ALEJANDRINO!$C$11,#REF!,0)+1,0)))</definedName>
    <definedName name="DateCalc" localSheetId="5">#REF!:INDEX(#REF!,DAY(DATE(#REF!,MATCH(#REF!,#REF!,0)+1,0)))</definedName>
    <definedName name="DateCalc" localSheetId="39">#REF!:INDEX(#REF!,DAY(DATE(AURELIO!$B$11,MATCH(AURELIO!$C$11,#REF!,0)+1,0)))</definedName>
    <definedName name="DateCalc" localSheetId="20">#REF!:INDEX(#REF!,DAY(DATE(AZMAN!$B$11,MATCH(AZMAN!$C$11,#REF!,0)+1,0)))</definedName>
    <definedName name="DateCalc" localSheetId="22">#REF!:INDEX(#REF!,DAY(DATE(BARORO!$B$11,MATCH(BARORO!$C$11,#REF!,0)+1,0)))</definedName>
    <definedName name="DateCalc" localSheetId="19">#REF!:INDEX(#REF!,DAY(DATE(BASA!$B$11,MATCH(BASA!$C$11,#REF!,0)+1,0)))</definedName>
    <definedName name="DateCalc" localSheetId="42">Data!$C$2:INDEX(Data!$C$2:$C$32,DAY(DATE(BATUL!$A$10,MATCH(BATUL!$B$10,Data!$B$2:$B$13,0)+1,0)))</definedName>
    <definedName name="DateCalc" localSheetId="46">#REF!:INDEX(#REF!,DAY(DATE(BECARO!$B$11,MATCH(BECARO!$C$11,#REF!,0)+1,0)))</definedName>
    <definedName name="DateCalc" localSheetId="1">Data!$C$2:INDEX(Data!$C$2:$C$32,DAY(DATE('Bi-weekly Timesheet'!$C$9,MATCH('Bi-weekly Timesheet'!$D$9,Data!$B$2:$B$13,0)+1,0)))</definedName>
    <definedName name="DateCalc" localSheetId="18">#REF!:INDEX(#REF!,DAY(DATE(BUNGAY!$B$11,MATCH(BUNGAY!$C$11,#REF!,0)+1,0)))</definedName>
    <definedName name="DateCalc" localSheetId="30">#REF!:INDEX(#REF!,DAY(DATE(CAYAPAS!$B$11,MATCH(CAYAPAS!$C$11,#REF!,0)+1,0)))</definedName>
    <definedName name="DateCalc" localSheetId="52">Data!$C$2:INDEX(Data!$C$2:$C$32,DAY(DATE(COMOSO!$B$11,MATCH(COMOSO!$C$11,Data!$B$2:$B$13,0)+1,0)))</definedName>
    <definedName name="DateCalc" localSheetId="32">#REF!:INDEX(#REF!,DAY(DATE(CONSUELO!$B$11,MATCH(CONSUELO!$C$11,#REF!,0)+1,0)))</definedName>
    <definedName name="DateCalc" localSheetId="37">#REF!:INDEX(#REF!,DAY(DATE(COROSO!$B$11,MATCH(COROSO!$C$11,#REF!,0)+1,0)))</definedName>
    <definedName name="DateCalc" localSheetId="48">Data!$C$2:INDEX(Data!$C$2:$C$32,DAY(DATE(DAGOT!$B$9,MATCH(DAGOT!$C$9,Data!$B$2:$B$13,0)+1,0)))</definedName>
    <definedName name="DateCalc" localSheetId="29">#REF!:INDEX(#REF!,DAY(DATE('DELA CRUZ'!$B$11,MATCH('DELA CRUZ'!$C$11,#REF!,0)+1,0)))</definedName>
    <definedName name="DateCalc" localSheetId="50">#REF!:INDEX(#REF!,DAY(DATE(DIOLA!$B$11,MATCH(DIOLA!$C$11,#REF!,0)+1,0)))</definedName>
    <definedName name="DateCalc" localSheetId="36">#REF!:INDEX(#REF!,DAY(DATE(EDON!$B$10,MATCH(EDON!$C$10,#REF!,0)+1,0)))</definedName>
    <definedName name="DateCalc" localSheetId="17">#REF!:INDEX(#REF!,DAY(DATE(ELEAZAR!$B$11,MATCH(ELEAZAR!$C$11,#REF!,0)+1,0)))</definedName>
    <definedName name="DateCalc" localSheetId="47">Data!$C$2:INDEX(Data!$C$2:$C$32,DAY(DATE(ESTARES!$B$10,MATCH(ESTARES!$C$10,Data!$B$2:$B$13,0)+1,0)))</definedName>
    <definedName name="DateCalc" localSheetId="14">Data!$C$2:INDEX(Data!$C$2:$C$32,DAY(DATE('Fixed Salary - Sample'!$B$10,MATCH('Fixed Salary - Sample'!$C$10,Data!$B$2:$B$13,0)+1,0)))</definedName>
    <definedName name="DateCalc" localSheetId="44">#REF!:INDEX(#REF!,DAY(DATE(GABO!$B$11,MATCH(GABO!$C$11,#REF!,0)+1,0)))</definedName>
    <definedName name="DateCalc" localSheetId="24">#REF!:INDEX(#REF!,DAY(DATE(GAID!$B$11,MATCH(GAID!$C$11,#REF!,0)+1,0)))</definedName>
    <definedName name="DateCalc" localSheetId="35">#REF!:INDEX(#REF!,DAY(DATE(GALLARDO!$B$11,MATCH(GALLARDO!$C$11,#REF!,0)+1,0)))</definedName>
    <definedName name="DateCalc" localSheetId="25">#REF!:INDEX(#REF!,DAY(DATE(GUERZO!$B$11,MATCH(GUERZO!$C$11,#REF!,0)+1,0)))</definedName>
    <definedName name="DateCalc" localSheetId="34">#REF!:INDEX(#REF!,DAY(DATE(HERRERA!$B$11,MATCH(HERRERA!$C$11,#REF!,0)+1,0)))</definedName>
    <definedName name="DateCalc" localSheetId="41">#REF!:INDEX(#REF!,DAY(DATE(LAGROSA!$B$11,MATCH(LAGROSA!$C$11,#REF!,0)+1,0)))</definedName>
    <definedName name="DateCalc" localSheetId="51">#REF!:INDEX(#REF!,DAY(DATE(LEAL!$B$11,MATCH(LEAL!$C$11,#REF!,0)+1,0)))</definedName>
    <definedName name="DateCalc" localSheetId="26">#REF!:INDEX(#REF!,DAY(DATE(MACATANGAY!$B$11,MATCH(MACATANGAY!$C$11,#REF!,0)+1,0)))</definedName>
    <definedName name="DateCalc" localSheetId="15">#REF!:INDEX(#REF!,DAY(DATE(MALAZARTE!$B$11,MATCH(MALAZARTE!$C$11,#REF!,0)+1,0)))</definedName>
    <definedName name="DateCalc" localSheetId="40">#REF!:INDEX(#REF!,DAY(DATE(MOHAMMAD!$B$11,MATCH(MOHAMMAD!$C$11,#REF!,0)+1,0)))</definedName>
    <definedName name="DateCalc" localSheetId="38">#REF!:INDEX(#REF!,DAY(DATE(NICOLAS!$B$11,MATCH(NICOLAS!$C$11,#REF!,0)+1,0)))</definedName>
    <definedName name="DateCalc" localSheetId="45">#REF!:INDEX(#REF!,DAY(DATE(ORBISO!$B$11,MATCH(ORBISO!$C$11,#REF!,0)+1,0)))</definedName>
    <definedName name="DateCalc" localSheetId="12">Data!$C$2:INDEX(Data!$C$2:$C$32,DAY(DATE(PAALAN!$B$11,MATCH(PAALAN!$C$11,Data!$B$2:$B$13,0)+1,0)))</definedName>
    <definedName name="DateCalc" localSheetId="16">#REF!:INDEX(#REF!,DAY(DATE(PAREDES!$B$11,MATCH(PAREDES!$C$11,#REF!,0)+1,0)))</definedName>
    <definedName name="DateCalc" localSheetId="13">Data!$C$2:INDEX(Data!$C$2:$C$32,DAY(DATE(PATRICIO!$B$11,MATCH(PATRICIO!$C$11,Data!$B$2:$B$13,0)+1,0)))</definedName>
    <definedName name="DateCalc" localSheetId="11">Data!$C$2:INDEX(Data!$C$2:$C$32,DAY(DATE('Weekly Timesheet'!$C$9,MATCH('Weekly Timesheet'!$D$9,Data!$B$2:$B$13,0)+1,0)))</definedName>
    <definedName name="DateCalc" localSheetId="43">#REF!:INDEX(#REF!,DAY(DATE(RODRIGUEZ!$B$11,MATCH(RODRIGUEZ!$C$11,#REF!,0)+1,0)))</definedName>
    <definedName name="DateCalc" localSheetId="23">#REF!:INDEX(#REF!,DAY(DATE(RUIZ!$B$11,MATCH(RUIZ!$C$11,#REF!,0)+1,0)))</definedName>
    <definedName name="DateCalc" localSheetId="6">#REF!:INDEX(#REF!,DAY(DATE(#REF!,MATCH(#REF!,#REF!,0)+1,0)))</definedName>
    <definedName name="DateCalc" localSheetId="54">#REF!:INDEX(#REF!,DAY(DATE(SUCIA!$B$11,MATCH(SUCIA!$C$11,#REF!,0)+1,0)))</definedName>
    <definedName name="DateCalc" localSheetId="49">#REF!:INDEX(#REF!,DAY(DATE(TRIPOLI!$B$11,MATCH(TRIPOLI!$C$11,#REF!,0)+1,0)))</definedName>
    <definedName name="DateCalc">Data!$C$2:INDEX(Data!$C$2:$C$32,DAY(DATE('Weekly Timesheet'!$C$9,MATCH('Weekly Timesheet'!$D$9,Data!$B$2:$B$13,0)+1,0)))</definedName>
    <definedName name="_xlnm.Print_Area" localSheetId="2">'15'!$A$1:$W$70</definedName>
    <definedName name="_xlnm.Print_Area" localSheetId="4">'30'!$A$1:$V$73</definedName>
    <definedName name="_xlnm.Print_Area" localSheetId="5">'AUG15'!$A$1:$X$73</definedName>
    <definedName name="_xlnm.Print_Area" localSheetId="6">'SEPT 30'!$A$1:$U$72</definedName>
  </definedNames>
  <calcPr calcId="191029"/>
</workbook>
</file>

<file path=xl/calcChain.xml><?xml version="1.0" encoding="utf-8"?>
<calcChain xmlns="http://schemas.openxmlformats.org/spreadsheetml/2006/main">
  <c r="Y38" i="65" l="1"/>
  <c r="U38" i="65"/>
  <c r="T38" i="65"/>
  <c r="N34" i="129" l="1"/>
  <c r="M25" i="129"/>
  <c r="M24" i="129"/>
  <c r="M23" i="129"/>
  <c r="M22" i="129"/>
  <c r="M21" i="129"/>
  <c r="M20" i="129"/>
  <c r="M18" i="129"/>
  <c r="M17" i="129"/>
  <c r="N33" i="129"/>
  <c r="I24" i="65"/>
  <c r="H38" i="65"/>
  <c r="D38" i="65"/>
  <c r="G57" i="129"/>
  <c r="H59" i="129" s="1"/>
  <c r="K52" i="129"/>
  <c r="J52" i="129"/>
  <c r="K51" i="129"/>
  <c r="J51" i="129"/>
  <c r="N37" i="129"/>
  <c r="I32" i="129"/>
  <c r="L31" i="129"/>
  <c r="J31" i="129"/>
  <c r="G31" i="129"/>
  <c r="L30" i="129"/>
  <c r="J30" i="129"/>
  <c r="G30" i="129"/>
  <c r="J29" i="129"/>
  <c r="G29" i="129"/>
  <c r="K28" i="129"/>
  <c r="J28" i="129"/>
  <c r="G28" i="129"/>
  <c r="K27" i="129"/>
  <c r="J27" i="129"/>
  <c r="G27" i="129"/>
  <c r="K26" i="129"/>
  <c r="J26" i="129"/>
  <c r="G26" i="129"/>
  <c r="G25" i="129"/>
  <c r="K25" i="129" s="1"/>
  <c r="R24" i="129"/>
  <c r="G24" i="129"/>
  <c r="J24" i="129" s="1"/>
  <c r="G23" i="129"/>
  <c r="J23" i="129" s="1"/>
  <c r="G22" i="129"/>
  <c r="K22" i="129" s="1"/>
  <c r="G21" i="129"/>
  <c r="K21" i="129" s="1"/>
  <c r="G20" i="129"/>
  <c r="G19" i="129"/>
  <c r="J19" i="129" s="1"/>
  <c r="G18" i="129"/>
  <c r="J18" i="129" s="1"/>
  <c r="G17" i="129"/>
  <c r="J17" i="129" s="1"/>
  <c r="D17" i="129"/>
  <c r="D18" i="129" s="1"/>
  <c r="D19" i="129" s="1"/>
  <c r="D20" i="129" s="1"/>
  <c r="D21" i="129" s="1"/>
  <c r="D22" i="129" s="1"/>
  <c r="D23" i="129" s="1"/>
  <c r="D24" i="129" s="1"/>
  <c r="D25" i="129" s="1"/>
  <c r="D26" i="129" s="1"/>
  <c r="D27" i="129" s="1"/>
  <c r="D28" i="129" s="1"/>
  <c r="D29" i="129" s="1"/>
  <c r="D30" i="129" s="1"/>
  <c r="D31" i="129" s="1"/>
  <c r="C17" i="129"/>
  <c r="C18" i="129" s="1"/>
  <c r="C19" i="129" s="1"/>
  <c r="C20" i="129" s="1"/>
  <c r="C21" i="129" s="1"/>
  <c r="C22" i="129" s="1"/>
  <c r="C23" i="129" s="1"/>
  <c r="C24" i="129" s="1"/>
  <c r="C25" i="129" s="1"/>
  <c r="C26" i="129" s="1"/>
  <c r="C27" i="129" s="1"/>
  <c r="C28" i="129" s="1"/>
  <c r="C29" i="129" s="1"/>
  <c r="C30" i="129" s="1"/>
  <c r="C31" i="129" s="1"/>
  <c r="Q14" i="129"/>
  <c r="T14" i="129" s="1"/>
  <c r="D14" i="129"/>
  <c r="M8" i="129"/>
  <c r="M7" i="129"/>
  <c r="N34" i="127"/>
  <c r="M31" i="127"/>
  <c r="M27" i="127"/>
  <c r="M17" i="127"/>
  <c r="M28" i="127"/>
  <c r="M30" i="127"/>
  <c r="M24" i="127"/>
  <c r="M23" i="127"/>
  <c r="M22" i="127"/>
  <c r="M21" i="127"/>
  <c r="L28" i="127"/>
  <c r="L21" i="127"/>
  <c r="H24" i="65"/>
  <c r="D24" i="65"/>
  <c r="N33" i="127"/>
  <c r="K76" i="127"/>
  <c r="N76" i="127" s="1"/>
  <c r="J76" i="127"/>
  <c r="K75" i="127"/>
  <c r="N75" i="127" s="1"/>
  <c r="N78" i="127" s="1"/>
  <c r="J75" i="127"/>
  <c r="H60" i="127"/>
  <c r="G58" i="127"/>
  <c r="N53" i="127"/>
  <c r="N37" i="127" s="1"/>
  <c r="K52" i="127"/>
  <c r="J52" i="127"/>
  <c r="K51" i="127"/>
  <c r="H48" i="127"/>
  <c r="I48" i="127" s="1"/>
  <c r="L33" i="127"/>
  <c r="I32" i="127"/>
  <c r="G31" i="127"/>
  <c r="J31" i="127" s="1"/>
  <c r="G30" i="127"/>
  <c r="L30" i="127" s="1"/>
  <c r="G29" i="127"/>
  <c r="J29" i="127" s="1"/>
  <c r="N29" i="127" s="1"/>
  <c r="G28" i="127"/>
  <c r="K28" i="127" s="1"/>
  <c r="G27" i="127"/>
  <c r="M26" i="127"/>
  <c r="G26" i="127"/>
  <c r="K26" i="127" s="1"/>
  <c r="M25" i="127"/>
  <c r="L25" i="127"/>
  <c r="G25" i="127"/>
  <c r="J25" i="127" s="1"/>
  <c r="R24" i="127"/>
  <c r="L24" i="127"/>
  <c r="G24" i="127"/>
  <c r="J24" i="127" s="1"/>
  <c r="N24" i="127" s="1"/>
  <c r="J23" i="127"/>
  <c r="N23" i="127" s="1"/>
  <c r="G23" i="127"/>
  <c r="L23" i="127" s="1"/>
  <c r="L22" i="127"/>
  <c r="G22" i="127"/>
  <c r="K22" i="127" s="1"/>
  <c r="G21" i="127"/>
  <c r="K21" i="127" s="1"/>
  <c r="M20" i="127"/>
  <c r="G20" i="127"/>
  <c r="L20" i="127" s="1"/>
  <c r="G19" i="127"/>
  <c r="J19" i="127" s="1"/>
  <c r="L18" i="127"/>
  <c r="J18" i="127"/>
  <c r="N18" i="127" s="1"/>
  <c r="G18" i="127"/>
  <c r="G17" i="127"/>
  <c r="J17" i="127" s="1"/>
  <c r="N17" i="127" s="1"/>
  <c r="D17" i="127"/>
  <c r="D18" i="127" s="1"/>
  <c r="D19" i="127" s="1"/>
  <c r="D20" i="127" s="1"/>
  <c r="D21" i="127" s="1"/>
  <c r="D22" i="127" s="1"/>
  <c r="D23" i="127" s="1"/>
  <c r="D24" i="127" s="1"/>
  <c r="D25" i="127" s="1"/>
  <c r="D26" i="127" s="1"/>
  <c r="D27" i="127" s="1"/>
  <c r="D28" i="127" s="1"/>
  <c r="D29" i="127" s="1"/>
  <c r="D30" i="127" s="1"/>
  <c r="D31" i="127" s="1"/>
  <c r="C17" i="127"/>
  <c r="C18" i="127" s="1"/>
  <c r="C19" i="127" s="1"/>
  <c r="C20" i="127" s="1"/>
  <c r="C21" i="127" s="1"/>
  <c r="C22" i="127" s="1"/>
  <c r="C23" i="127" s="1"/>
  <c r="C24" i="127" s="1"/>
  <c r="C25" i="127" s="1"/>
  <c r="C26" i="127" s="1"/>
  <c r="C27" i="127" s="1"/>
  <c r="C28" i="127" s="1"/>
  <c r="C29" i="127" s="1"/>
  <c r="C30" i="127" s="1"/>
  <c r="C31" i="127" s="1"/>
  <c r="G14" i="127"/>
  <c r="D14" i="127"/>
  <c r="M29" i="127" s="1"/>
  <c r="M8" i="127"/>
  <c r="M7" i="127"/>
  <c r="T24" i="65"/>
  <c r="N34" i="80"/>
  <c r="M24" i="80"/>
  <c r="M22" i="80"/>
  <c r="M23" i="80"/>
  <c r="M30" i="80"/>
  <c r="M21" i="80"/>
  <c r="M28" i="80"/>
  <c r="M18" i="80"/>
  <c r="L29" i="80"/>
  <c r="L27" i="80"/>
  <c r="L21" i="80"/>
  <c r="G17" i="80"/>
  <c r="G18" i="80"/>
  <c r="G19" i="80"/>
  <c r="G20" i="80"/>
  <c r="M24" i="82"/>
  <c r="M29" i="82"/>
  <c r="M30" i="82"/>
  <c r="M28" i="82"/>
  <c r="M25" i="82"/>
  <c r="M23" i="82"/>
  <c r="M22" i="82"/>
  <c r="L22" i="82"/>
  <c r="M21" i="82"/>
  <c r="M20" i="82"/>
  <c r="M18" i="82"/>
  <c r="L31" i="82"/>
  <c r="L30" i="82"/>
  <c r="L29" i="82"/>
  <c r="L28" i="82"/>
  <c r="L27" i="82"/>
  <c r="L24" i="82"/>
  <c r="J18" i="82"/>
  <c r="J19" i="82"/>
  <c r="J20" i="82"/>
  <c r="J21" i="82"/>
  <c r="J22" i="82"/>
  <c r="J23" i="82"/>
  <c r="J25" i="82"/>
  <c r="J26" i="82"/>
  <c r="J30" i="82"/>
  <c r="J31" i="82"/>
  <c r="L21" i="82"/>
  <c r="L22" i="110"/>
  <c r="L21" i="110"/>
  <c r="M29" i="110"/>
  <c r="L28" i="99"/>
  <c r="L27" i="99"/>
  <c r="L28" i="73"/>
  <c r="L29" i="75"/>
  <c r="L27" i="75"/>
  <c r="M24" i="101"/>
  <c r="M25" i="101"/>
  <c r="M31" i="101"/>
  <c r="M30" i="101"/>
  <c r="M29" i="101"/>
  <c r="M28" i="101"/>
  <c r="M17" i="101"/>
  <c r="L29" i="101"/>
  <c r="M28" i="98"/>
  <c r="M21" i="98"/>
  <c r="L27" i="98"/>
  <c r="L23" i="95"/>
  <c r="L22" i="95"/>
  <c r="L22" i="74"/>
  <c r="L29" i="94"/>
  <c r="L28" i="94"/>
  <c r="L27" i="94"/>
  <c r="L26" i="94"/>
  <c r="L21" i="94"/>
  <c r="L20" i="94"/>
  <c r="L17" i="94"/>
  <c r="L16" i="94"/>
  <c r="L30" i="115"/>
  <c r="L29" i="115"/>
  <c r="L28" i="115"/>
  <c r="L27" i="115"/>
  <c r="L25" i="115"/>
  <c r="L23" i="115"/>
  <c r="L22" i="115"/>
  <c r="L21" i="115"/>
  <c r="L29" i="81"/>
  <c r="L27" i="81"/>
  <c r="L22" i="81"/>
  <c r="L29" i="88"/>
  <c r="L24" i="88"/>
  <c r="L22" i="88"/>
  <c r="L21" i="88"/>
  <c r="J25" i="129" l="1"/>
  <c r="L32" i="129"/>
  <c r="K20" i="129"/>
  <c r="K32" i="129" s="1"/>
  <c r="J20" i="129"/>
  <c r="H48" i="129"/>
  <c r="I48" i="129" s="1"/>
  <c r="M19" i="129"/>
  <c r="L33" i="129"/>
  <c r="M31" i="129"/>
  <c r="M30" i="129"/>
  <c r="M28" i="129"/>
  <c r="M27" i="129"/>
  <c r="M26" i="129"/>
  <c r="M29" i="129"/>
  <c r="G14" i="129"/>
  <c r="J21" i="129"/>
  <c r="N21" i="129" s="1"/>
  <c r="J22" i="129"/>
  <c r="O29" i="127"/>
  <c r="L32" i="127"/>
  <c r="O26" i="127"/>
  <c r="N31" i="127"/>
  <c r="O31" i="127" s="1"/>
  <c r="K19" i="127"/>
  <c r="N19" i="127" s="1"/>
  <c r="K20" i="127"/>
  <c r="J21" i="127"/>
  <c r="N21" i="127" s="1"/>
  <c r="O21" i="127" s="1"/>
  <c r="J22" i="127"/>
  <c r="N22" i="127" s="1"/>
  <c r="O22" i="127" s="1"/>
  <c r="O23" i="127"/>
  <c r="O24" i="127"/>
  <c r="K25" i="127"/>
  <c r="N25" i="127" s="1"/>
  <c r="O25" i="127" s="1"/>
  <c r="J26" i="127"/>
  <c r="N26" i="127" s="1"/>
  <c r="J27" i="127"/>
  <c r="N27" i="127" s="1"/>
  <c r="O27" i="127" s="1"/>
  <c r="J28" i="127"/>
  <c r="N28" i="127" s="1"/>
  <c r="O28" i="127" s="1"/>
  <c r="J30" i="127"/>
  <c r="N30" i="127" s="1"/>
  <c r="O30" i="127" s="1"/>
  <c r="J20" i="127"/>
  <c r="M18" i="127"/>
  <c r="O18" i="127" s="1"/>
  <c r="M19" i="127"/>
  <c r="L29" i="102"/>
  <c r="L28" i="102"/>
  <c r="L27" i="102"/>
  <c r="L21" i="102"/>
  <c r="L18" i="102"/>
  <c r="L17" i="102"/>
  <c r="L22" i="92"/>
  <c r="L29" i="96"/>
  <c r="L27" i="96"/>
  <c r="L26" i="96"/>
  <c r="L23" i="96"/>
  <c r="L22" i="96"/>
  <c r="L21" i="96"/>
  <c r="L20" i="96"/>
  <c r="L19" i="96"/>
  <c r="L17" i="96"/>
  <c r="L16" i="96"/>
  <c r="L22" i="123"/>
  <c r="L29" i="67"/>
  <c r="N36" i="129" l="1"/>
  <c r="G38" i="65" s="1"/>
  <c r="O31" i="129"/>
  <c r="N29" i="129"/>
  <c r="O29" i="129" s="1"/>
  <c r="N27" i="129"/>
  <c r="N51" i="129"/>
  <c r="M32" i="129"/>
  <c r="E38" i="65" s="1"/>
  <c r="F38" i="65" s="1"/>
  <c r="N26" i="129"/>
  <c r="O26" i="129" s="1"/>
  <c r="N25" i="129"/>
  <c r="O25" i="129" s="1"/>
  <c r="N17" i="129"/>
  <c r="O17" i="129" s="1"/>
  <c r="N23" i="129"/>
  <c r="O23" i="129" s="1"/>
  <c r="N31" i="129"/>
  <c r="O21" i="129"/>
  <c r="N18" i="129"/>
  <c r="O18" i="129" s="1"/>
  <c r="N24" i="129"/>
  <c r="O24" i="129" s="1"/>
  <c r="J32" i="129"/>
  <c r="J34" i="129" s="1"/>
  <c r="O27" i="129"/>
  <c r="N22" i="129"/>
  <c r="O22" i="129" s="1"/>
  <c r="N28" i="129"/>
  <c r="O28" i="129" s="1"/>
  <c r="O30" i="129"/>
  <c r="N20" i="129"/>
  <c r="O20" i="129" s="1"/>
  <c r="N30" i="129"/>
  <c r="N19" i="129"/>
  <c r="O19" i="129" s="1"/>
  <c r="P31" i="127"/>
  <c r="P29" i="127"/>
  <c r="J32" i="127"/>
  <c r="J34" i="127" s="1"/>
  <c r="P22" i="127"/>
  <c r="K32" i="127"/>
  <c r="N36" i="127" s="1"/>
  <c r="G24" i="65" s="1"/>
  <c r="N20" i="127"/>
  <c r="O20" i="127" s="1"/>
  <c r="M32" i="127"/>
  <c r="O17" i="127"/>
  <c r="O19" i="127"/>
  <c r="AD15" i="65"/>
  <c r="AD25" i="65"/>
  <c r="AD39" i="65"/>
  <c r="G27" i="99"/>
  <c r="K27" i="99" s="1"/>
  <c r="N37" i="118"/>
  <c r="L31" i="92"/>
  <c r="L25" i="92"/>
  <c r="L24" i="92"/>
  <c r="L18" i="92"/>
  <c r="L17" i="92"/>
  <c r="L31" i="75"/>
  <c r="L25" i="75"/>
  <c r="L18" i="75"/>
  <c r="L17" i="75"/>
  <c r="L30" i="94"/>
  <c r="L24" i="94"/>
  <c r="L19" i="94"/>
  <c r="G60" i="73"/>
  <c r="H62" i="73" s="1"/>
  <c r="L25" i="73"/>
  <c r="L18" i="73"/>
  <c r="L25" i="99"/>
  <c r="L24" i="99"/>
  <c r="L18" i="99"/>
  <c r="L23" i="99"/>
  <c r="L17" i="99"/>
  <c r="G59" i="74"/>
  <c r="H61" i="74" s="1"/>
  <c r="L25" i="74"/>
  <c r="L24" i="74"/>
  <c r="L23" i="74"/>
  <c r="L18" i="74"/>
  <c r="L17" i="74"/>
  <c r="L31" i="110"/>
  <c r="L25" i="110"/>
  <c r="L23" i="110"/>
  <c r="L18" i="110"/>
  <c r="L17" i="110"/>
  <c r="L31" i="81"/>
  <c r="L30" i="81"/>
  <c r="L23" i="81"/>
  <c r="L21" i="81"/>
  <c r="L18" i="81"/>
  <c r="L17" i="81"/>
  <c r="M31" i="82"/>
  <c r="L17" i="82"/>
  <c r="G61" i="80"/>
  <c r="H63" i="80" s="1"/>
  <c r="L31" i="80"/>
  <c r="L30" i="80"/>
  <c r="L25" i="80"/>
  <c r="L24" i="80"/>
  <c r="L20" i="80"/>
  <c r="L17" i="80"/>
  <c r="G58" i="123"/>
  <c r="H60" i="123" s="1"/>
  <c r="L31" i="123"/>
  <c r="L25" i="123"/>
  <c r="L24" i="123"/>
  <c r="L18" i="123"/>
  <c r="L17" i="123"/>
  <c r="L25" i="67"/>
  <c r="L24" i="67"/>
  <c r="L18" i="67"/>
  <c r="L17" i="67"/>
  <c r="L31" i="88"/>
  <c r="L17" i="88"/>
  <c r="N35" i="129" l="1"/>
  <c r="N38" i="129" s="1"/>
  <c r="I38" i="65"/>
  <c r="O32" i="129"/>
  <c r="O34" i="129" s="1"/>
  <c r="P31" i="129"/>
  <c r="P29" i="129"/>
  <c r="P22" i="129"/>
  <c r="N35" i="127"/>
  <c r="E24" i="65"/>
  <c r="F24" i="65" s="1"/>
  <c r="P32" i="127"/>
  <c r="N38" i="127"/>
  <c r="U24" i="65" s="1"/>
  <c r="Y24" i="65" s="1"/>
  <c r="O32" i="127"/>
  <c r="L25" i="95"/>
  <c r="L24" i="95"/>
  <c r="L21" i="95"/>
  <c r="L20" i="95"/>
  <c r="L18" i="95"/>
  <c r="L17" i="95"/>
  <c r="G59" i="102"/>
  <c r="H61" i="102" s="1"/>
  <c r="L31" i="102"/>
  <c r="L25" i="102"/>
  <c r="L17" i="115"/>
  <c r="L18" i="101"/>
  <c r="L17" i="101"/>
  <c r="L24" i="117"/>
  <c r="L20" i="117"/>
  <c r="L18" i="117"/>
  <c r="L17" i="117"/>
  <c r="P32" i="129" l="1"/>
  <c r="Q32" i="129" s="1"/>
  <c r="Q32" i="127"/>
  <c r="O34" i="127"/>
  <c r="L31" i="125"/>
  <c r="L30" i="125"/>
  <c r="L25" i="125"/>
  <c r="L24" i="125"/>
  <c r="L23" i="125"/>
  <c r="L20" i="125"/>
  <c r="L18" i="125"/>
  <c r="L17" i="125"/>
  <c r="L31" i="118"/>
  <c r="L30" i="118"/>
  <c r="L24" i="118"/>
  <c r="L23" i="118"/>
  <c r="L20" i="118"/>
  <c r="L17" i="118"/>
  <c r="G61" i="96"/>
  <c r="D13" i="96"/>
  <c r="M25" i="96" l="1"/>
  <c r="M28" i="96"/>
  <c r="M18" i="96"/>
  <c r="M16" i="96"/>
  <c r="M20" i="96"/>
  <c r="M19" i="96"/>
  <c r="M17" i="96"/>
  <c r="M22" i="96"/>
  <c r="M26" i="96"/>
  <c r="M23" i="96"/>
  <c r="N32" i="96"/>
  <c r="D62" i="65" s="1"/>
  <c r="M24" i="96"/>
  <c r="G13" i="96"/>
  <c r="M27" i="96"/>
  <c r="T62" i="65"/>
  <c r="F61" i="65"/>
  <c r="I61" i="65" s="1"/>
  <c r="T61" i="65"/>
  <c r="F63" i="65"/>
  <c r="I63" i="65" s="1"/>
  <c r="T63" i="65"/>
  <c r="T60" i="65"/>
  <c r="F60" i="65"/>
  <c r="I60" i="65" s="1"/>
  <c r="U61" i="65" l="1"/>
  <c r="Y61" i="65" s="1"/>
  <c r="AA61" i="65" s="1"/>
  <c r="U63" i="65"/>
  <c r="Y63" i="65" s="1"/>
  <c r="AB63" i="65" s="1"/>
  <c r="AD63" i="65" s="1"/>
  <c r="U60" i="65"/>
  <c r="Y60" i="65" s="1"/>
  <c r="AA60" i="65" s="1"/>
  <c r="G19" i="125"/>
  <c r="AB61" i="65" l="1"/>
  <c r="AD61" i="65" s="1"/>
  <c r="AB60" i="65"/>
  <c r="AD60" i="65" s="1"/>
  <c r="D14" i="99"/>
  <c r="L29" i="126"/>
  <c r="L27" i="126"/>
  <c r="L26" i="126"/>
  <c r="L20" i="126"/>
  <c r="L19" i="126"/>
  <c r="L21" i="126"/>
  <c r="L33" i="99" l="1"/>
  <c r="M31" i="99"/>
  <c r="M24" i="99"/>
  <c r="M23" i="99"/>
  <c r="M19" i="99"/>
  <c r="M17" i="99"/>
  <c r="H16" i="65"/>
  <c r="L20" i="92"/>
  <c r="H22" i="65"/>
  <c r="D14" i="92"/>
  <c r="L34" i="88"/>
  <c r="M28" i="92" l="1"/>
  <c r="N33" i="92"/>
  <c r="M30" i="92"/>
  <c r="M25" i="92"/>
  <c r="M20" i="92"/>
  <c r="M27" i="92"/>
  <c r="M26" i="92"/>
  <c r="M18" i="92"/>
  <c r="G14" i="92"/>
  <c r="L33" i="92"/>
  <c r="J52" i="88"/>
  <c r="K52" i="88"/>
  <c r="J52" i="118"/>
  <c r="K52" i="118"/>
  <c r="J52" i="102"/>
  <c r="K52" i="102"/>
  <c r="J52" i="123"/>
  <c r="K52" i="123"/>
  <c r="J52" i="126"/>
  <c r="K52" i="126"/>
  <c r="K52" i="117"/>
  <c r="J52" i="125"/>
  <c r="K52" i="125"/>
  <c r="J52" i="95"/>
  <c r="K52" i="95"/>
  <c r="J52" i="74"/>
  <c r="J52" i="73"/>
  <c r="K52" i="73"/>
  <c r="J52" i="75"/>
  <c r="K52" i="75"/>
  <c r="J52" i="111"/>
  <c r="K52" i="111"/>
  <c r="J51" i="111"/>
  <c r="J52" i="101"/>
  <c r="K52" i="101"/>
  <c r="J52" i="115"/>
  <c r="K52" i="115"/>
  <c r="J52" i="80"/>
  <c r="K52" i="80"/>
  <c r="J53" i="94"/>
  <c r="K53" i="94"/>
  <c r="M53" i="94"/>
  <c r="J52" i="98"/>
  <c r="K52" i="98"/>
  <c r="J52" i="92"/>
  <c r="K52" i="92"/>
  <c r="D14" i="81"/>
  <c r="D14" i="75"/>
  <c r="D14" i="67"/>
  <c r="D14" i="88"/>
  <c r="G20" i="67"/>
  <c r="L20" i="67" s="1"/>
  <c r="G27" i="110"/>
  <c r="M28" i="81" l="1"/>
  <c r="M24" i="81"/>
  <c r="M23" i="81"/>
  <c r="M29" i="81"/>
  <c r="M18" i="81"/>
  <c r="M27" i="81"/>
  <c r="M21" i="81"/>
  <c r="M20" i="81"/>
  <c r="M17" i="81"/>
  <c r="M25" i="81"/>
  <c r="M30" i="81"/>
  <c r="M31" i="88"/>
  <c r="M29" i="88"/>
  <c r="M21" i="88"/>
  <c r="M25" i="88"/>
  <c r="M20" i="88"/>
  <c r="M17" i="88"/>
  <c r="L33" i="88"/>
  <c r="M29" i="67"/>
  <c r="M17" i="67"/>
  <c r="M24" i="67"/>
  <c r="M19" i="81"/>
  <c r="M31" i="81"/>
  <c r="M26" i="81"/>
  <c r="M27" i="88"/>
  <c r="M23" i="88"/>
  <c r="M26" i="88"/>
  <c r="M30" i="88"/>
  <c r="M24" i="88"/>
  <c r="M23" i="67"/>
  <c r="M30" i="67"/>
  <c r="M21" i="67"/>
  <c r="M27" i="67"/>
  <c r="M20" i="67"/>
  <c r="M19" i="67"/>
  <c r="K27" i="110"/>
  <c r="M24" i="75"/>
  <c r="M17" i="75"/>
  <c r="M31" i="75"/>
  <c r="M23" i="75"/>
  <c r="M30" i="75"/>
  <c r="M22" i="75"/>
  <c r="M26" i="75"/>
  <c r="M21" i="75"/>
  <c r="L33" i="75"/>
  <c r="M29" i="75"/>
  <c r="M28" i="75"/>
  <c r="M25" i="75"/>
  <c r="M28" i="88"/>
  <c r="G14" i="88"/>
  <c r="L33" i="81"/>
  <c r="M31" i="67"/>
  <c r="M26" i="67"/>
  <c r="M22" i="67"/>
  <c r="L33" i="67"/>
  <c r="J27" i="110"/>
  <c r="B202" i="89" l="1"/>
  <c r="B201" i="89"/>
  <c r="B194" i="89"/>
  <c r="B193" i="89"/>
  <c r="D198" i="89"/>
  <c r="D208" i="89" s="1"/>
  <c r="K76" i="126" l="1"/>
  <c r="N76" i="126" s="1"/>
  <c r="J76" i="126"/>
  <c r="K75" i="126"/>
  <c r="N75" i="126" s="1"/>
  <c r="N78" i="126" s="1"/>
  <c r="J75" i="126"/>
  <c r="K51" i="126"/>
  <c r="J51" i="126"/>
  <c r="I32" i="126"/>
  <c r="G31" i="126"/>
  <c r="J31" i="126" s="1"/>
  <c r="G30" i="126"/>
  <c r="G29" i="126"/>
  <c r="K29" i="126" s="1"/>
  <c r="G28" i="126"/>
  <c r="J28" i="126" s="1"/>
  <c r="G27" i="126"/>
  <c r="K27" i="126" s="1"/>
  <c r="G26" i="126"/>
  <c r="G25" i="126"/>
  <c r="J25" i="126" s="1"/>
  <c r="R24" i="126"/>
  <c r="G24" i="126"/>
  <c r="J24" i="126" s="1"/>
  <c r="G23" i="126"/>
  <c r="G22" i="126"/>
  <c r="G21" i="126"/>
  <c r="K21" i="126" s="1"/>
  <c r="G20" i="126"/>
  <c r="G19" i="126"/>
  <c r="J19" i="126" s="1"/>
  <c r="G18" i="126"/>
  <c r="J18" i="126" s="1"/>
  <c r="G17" i="126"/>
  <c r="J17" i="126" s="1"/>
  <c r="D17" i="126"/>
  <c r="D18" i="126" s="1"/>
  <c r="D19" i="126" s="1"/>
  <c r="D20" i="126" s="1"/>
  <c r="D21" i="126" s="1"/>
  <c r="D22" i="126" s="1"/>
  <c r="D23" i="126" s="1"/>
  <c r="D24" i="126" s="1"/>
  <c r="D25" i="126" s="1"/>
  <c r="D26" i="126" s="1"/>
  <c r="D27" i="126" s="1"/>
  <c r="D28" i="126" s="1"/>
  <c r="D29" i="126" s="1"/>
  <c r="D30" i="126" s="1"/>
  <c r="D31" i="126" s="1"/>
  <c r="C17" i="126"/>
  <c r="C18" i="126" s="1"/>
  <c r="C19" i="126" s="1"/>
  <c r="C20" i="126" s="1"/>
  <c r="C21" i="126" s="1"/>
  <c r="C22" i="126" s="1"/>
  <c r="C23" i="126" s="1"/>
  <c r="C24" i="126" s="1"/>
  <c r="C25" i="126" s="1"/>
  <c r="C26" i="126" s="1"/>
  <c r="C27" i="126" s="1"/>
  <c r="C28" i="126" s="1"/>
  <c r="C29" i="126" s="1"/>
  <c r="C30" i="126" s="1"/>
  <c r="C31" i="126" s="1"/>
  <c r="D14" i="126"/>
  <c r="M8" i="126"/>
  <c r="M7" i="126"/>
  <c r="M25" i="126" l="1"/>
  <c r="M31" i="126"/>
  <c r="M21" i="126"/>
  <c r="J22" i="126"/>
  <c r="L22" i="126"/>
  <c r="K23" i="126"/>
  <c r="L23" i="126"/>
  <c r="J30" i="126"/>
  <c r="L30" i="126"/>
  <c r="K19" i="126"/>
  <c r="M18" i="126"/>
  <c r="M26" i="126"/>
  <c r="K28" i="126"/>
  <c r="L28" i="126"/>
  <c r="K24" i="126"/>
  <c r="G14" i="126"/>
  <c r="N31" i="126" s="1"/>
  <c r="O31" i="126" s="1"/>
  <c r="M17" i="126"/>
  <c r="M20" i="126"/>
  <c r="M22" i="126"/>
  <c r="M27" i="126"/>
  <c r="J29" i="126"/>
  <c r="K22" i="126"/>
  <c r="K18" i="126"/>
  <c r="K17" i="126"/>
  <c r="J23" i="126"/>
  <c r="J26" i="126"/>
  <c r="M24" i="126"/>
  <c r="K25" i="126"/>
  <c r="K26" i="126"/>
  <c r="J27" i="126"/>
  <c r="M28" i="126"/>
  <c r="M29" i="126"/>
  <c r="M30" i="126"/>
  <c r="N33" i="126"/>
  <c r="H48" i="126"/>
  <c r="J20" i="126"/>
  <c r="K20" i="126"/>
  <c r="J21" i="126"/>
  <c r="N21" i="126" s="1"/>
  <c r="O21" i="126" s="1"/>
  <c r="M19" i="126"/>
  <c r="M23" i="126"/>
  <c r="D14" i="102"/>
  <c r="D14" i="110"/>
  <c r="N27" i="126" l="1"/>
  <c r="O27" i="126" s="1"/>
  <c r="L33" i="102"/>
  <c r="M20" i="102"/>
  <c r="M18" i="102"/>
  <c r="M28" i="102"/>
  <c r="M17" i="102"/>
  <c r="N30" i="126"/>
  <c r="N24" i="126"/>
  <c r="L32" i="126"/>
  <c r="M31" i="102"/>
  <c r="M27" i="102"/>
  <c r="M30" i="102"/>
  <c r="M24" i="102"/>
  <c r="N22" i="126"/>
  <c r="O22" i="126" s="1"/>
  <c r="P22" i="126" s="1"/>
  <c r="M24" i="110"/>
  <c r="M23" i="110"/>
  <c r="M30" i="110"/>
  <c r="M27" i="110"/>
  <c r="N28" i="126"/>
  <c r="O28" i="126" s="1"/>
  <c r="P31" i="126" s="1"/>
  <c r="L33" i="110"/>
  <c r="M26" i="102"/>
  <c r="M21" i="102"/>
  <c r="M23" i="102"/>
  <c r="M22" i="102"/>
  <c r="M19" i="102"/>
  <c r="M25" i="102"/>
  <c r="N19" i="126"/>
  <c r="N23" i="126"/>
  <c r="O23" i="126" s="1"/>
  <c r="N17" i="126"/>
  <c r="O17" i="126" s="1"/>
  <c r="N29" i="126"/>
  <c r="O29" i="126" s="1"/>
  <c r="N25" i="126"/>
  <c r="O25" i="126" s="1"/>
  <c r="N51" i="126"/>
  <c r="N52" i="126"/>
  <c r="N53" i="126" s="1"/>
  <c r="N18" i="126"/>
  <c r="O18" i="126" s="1"/>
  <c r="B198" i="89"/>
  <c r="O19" i="126"/>
  <c r="M26" i="110"/>
  <c r="M17" i="110"/>
  <c r="O24" i="126"/>
  <c r="O30" i="126"/>
  <c r="K32" i="126"/>
  <c r="N36" i="126" s="1"/>
  <c r="M32" i="126"/>
  <c r="N34" i="126" s="1"/>
  <c r="N35" i="126" s="1"/>
  <c r="N20" i="126"/>
  <c r="O20" i="126" s="1"/>
  <c r="N26" i="126"/>
  <c r="O26" i="126" s="1"/>
  <c r="I48" i="126"/>
  <c r="J32" i="126"/>
  <c r="G30" i="67"/>
  <c r="G23" i="88"/>
  <c r="L23" i="88" s="1"/>
  <c r="G22" i="94"/>
  <c r="G29" i="94"/>
  <c r="K29" i="94" s="1"/>
  <c r="G30" i="98"/>
  <c r="K30" i="98" l="1"/>
  <c r="L30" i="98"/>
  <c r="H15" i="126"/>
  <c r="L30" i="67"/>
  <c r="B200" i="89"/>
  <c r="J29" i="94"/>
  <c r="J22" i="94"/>
  <c r="P29" i="126"/>
  <c r="P32" i="126" s="1"/>
  <c r="O32" i="126"/>
  <c r="O34" i="126" s="1"/>
  <c r="N38" i="126"/>
  <c r="J30" i="67"/>
  <c r="J30" i="98"/>
  <c r="B205" i="89" l="1"/>
  <c r="B208" i="89" s="1"/>
  <c r="C209" i="89" s="1"/>
  <c r="Q32" i="126"/>
  <c r="M31" i="110" l="1"/>
  <c r="G25" i="94" l="1"/>
  <c r="G26" i="92"/>
  <c r="G17" i="94" l="1"/>
  <c r="G25" i="98"/>
  <c r="G18" i="98"/>
  <c r="G25" i="92"/>
  <c r="J17" i="94" l="1"/>
  <c r="J25" i="98"/>
  <c r="J25" i="92"/>
  <c r="J18" i="98"/>
  <c r="K17" i="94"/>
  <c r="M18" i="110" l="1"/>
  <c r="M20" i="110"/>
  <c r="G26" i="118"/>
  <c r="D13" i="94" l="1"/>
  <c r="M20" i="94" l="1"/>
  <c r="M27" i="94"/>
  <c r="M28" i="94"/>
  <c r="M30" i="94"/>
  <c r="M21" i="94"/>
  <c r="M25" i="94"/>
  <c r="M23" i="94"/>
  <c r="L32" i="94"/>
  <c r="M29" i="94"/>
  <c r="M24" i="94"/>
  <c r="M26" i="94"/>
  <c r="Y66" i="65"/>
  <c r="F226" i="113" l="1"/>
  <c r="F225" i="113"/>
  <c r="H240" i="113"/>
  <c r="F240" i="113"/>
  <c r="G241" i="113" l="1"/>
  <c r="W64" i="65"/>
  <c r="X64" i="65"/>
  <c r="V64" i="65"/>
  <c r="J53" i="96" l="1"/>
  <c r="D53" i="96"/>
  <c r="D52" i="94"/>
  <c r="D51" i="67"/>
  <c r="D51" i="95"/>
  <c r="D51" i="75"/>
  <c r="D51" i="115"/>
  <c r="D51" i="111"/>
  <c r="D51" i="101"/>
  <c r="D52" i="99"/>
  <c r="D51" i="92"/>
  <c r="B194" i="113"/>
  <c r="B193" i="113"/>
  <c r="H208" i="113"/>
  <c r="F208" i="113"/>
  <c r="D208" i="113"/>
  <c r="B208" i="113"/>
  <c r="F56" i="65"/>
  <c r="I56" i="65" s="1"/>
  <c r="T56" i="65"/>
  <c r="F37" i="65"/>
  <c r="I37" i="65" s="1"/>
  <c r="T37" i="65"/>
  <c r="G209" i="113" l="1"/>
  <c r="C209" i="113"/>
  <c r="U56" i="65"/>
  <c r="Y56" i="65" s="1"/>
  <c r="AA56" i="65" s="1"/>
  <c r="U37" i="65"/>
  <c r="Y37" i="65" s="1"/>
  <c r="AA49" i="65" s="1"/>
  <c r="D116" i="90"/>
  <c r="AA37" i="65" l="1"/>
  <c r="AB37" i="65" s="1"/>
  <c r="AD37" i="65" s="1"/>
  <c r="AB56" i="65"/>
  <c r="AD56" i="65" s="1"/>
  <c r="D240" i="90"/>
  <c r="F175" i="90"/>
  <c r="F171" i="90"/>
  <c r="F170" i="90"/>
  <c r="F168" i="90"/>
  <c r="X67" i="65" l="1"/>
  <c r="T36" i="65" l="1"/>
  <c r="F36" i="65"/>
  <c r="I36" i="65" s="1"/>
  <c r="U36" i="65" l="1"/>
  <c r="Y36" i="65" s="1"/>
  <c r="AA48" i="65" s="1"/>
  <c r="F35" i="65"/>
  <c r="I35" i="65" s="1"/>
  <c r="T35" i="65"/>
  <c r="AA36" i="65" l="1"/>
  <c r="AB36" i="65" s="1"/>
  <c r="AD36" i="65" s="1"/>
  <c r="U35" i="65"/>
  <c r="Y35" i="65" l="1"/>
  <c r="AA58" i="65" s="1"/>
  <c r="D14" i="98"/>
  <c r="L33" i="98" l="1"/>
  <c r="M31" i="98"/>
  <c r="M30" i="98"/>
  <c r="M19" i="98"/>
  <c r="M29" i="98"/>
  <c r="M27" i="98"/>
  <c r="M17" i="98"/>
  <c r="AA35" i="65"/>
  <c r="AB35" i="65" s="1"/>
  <c r="AD35" i="65" s="1"/>
  <c r="L32" i="96"/>
  <c r="D14" i="111"/>
  <c r="L33" i="111" s="1"/>
  <c r="M19" i="111" l="1"/>
  <c r="M17" i="111"/>
  <c r="M30" i="111"/>
  <c r="M29" i="111"/>
  <c r="M23" i="98"/>
  <c r="D17" i="92"/>
  <c r="D178" i="113" l="1"/>
  <c r="F164" i="113"/>
  <c r="F163" i="113"/>
  <c r="B164" i="113"/>
  <c r="B163" i="113"/>
  <c r="K56" i="117" l="1"/>
  <c r="J56" i="117"/>
  <c r="G31" i="110" l="1"/>
  <c r="G30" i="110"/>
  <c r="L30" i="110" s="1"/>
  <c r="G31" i="80"/>
  <c r="G30" i="80"/>
  <c r="G31" i="82"/>
  <c r="G30" i="82"/>
  <c r="M31" i="111"/>
  <c r="G31" i="111"/>
  <c r="G30" i="111"/>
  <c r="G31" i="101"/>
  <c r="G30" i="101"/>
  <c r="L30" i="101" s="1"/>
  <c r="G31" i="115"/>
  <c r="L31" i="115" s="1"/>
  <c r="G30" i="115"/>
  <c r="G31" i="81"/>
  <c r="G30" i="81"/>
  <c r="G31" i="99"/>
  <c r="G30" i="99"/>
  <c r="L30" i="99" s="1"/>
  <c r="G31" i="75"/>
  <c r="G30" i="75"/>
  <c r="L30" i="75" s="1"/>
  <c r="M31" i="73"/>
  <c r="G31" i="73"/>
  <c r="L31" i="73" s="1"/>
  <c r="G30" i="73"/>
  <c r="L30" i="73" s="1"/>
  <c r="G31" i="74"/>
  <c r="L31" i="74" s="1"/>
  <c r="G30" i="74"/>
  <c r="L30" i="74" s="1"/>
  <c r="G31" i="95"/>
  <c r="G30" i="95"/>
  <c r="L30" i="95" s="1"/>
  <c r="G31" i="125"/>
  <c r="G30" i="125"/>
  <c r="G31" i="117"/>
  <c r="G30" i="117"/>
  <c r="L30" i="117" s="1"/>
  <c r="G31" i="123"/>
  <c r="G30" i="123"/>
  <c r="L30" i="123" s="1"/>
  <c r="G31" i="102"/>
  <c r="G30" i="102"/>
  <c r="L30" i="102" s="1"/>
  <c r="G31" i="118"/>
  <c r="G30" i="118"/>
  <c r="G31" i="67"/>
  <c r="G31" i="88"/>
  <c r="G30" i="88"/>
  <c r="G30" i="94"/>
  <c r="G31" i="98"/>
  <c r="M30" i="96"/>
  <c r="G30" i="96"/>
  <c r="J30" i="96" s="1"/>
  <c r="G29" i="96"/>
  <c r="J29" i="96" s="1"/>
  <c r="M31" i="92"/>
  <c r="G31" i="92"/>
  <c r="L30" i="111" l="1"/>
  <c r="L30" i="88"/>
  <c r="K31" i="101"/>
  <c r="J30" i="80"/>
  <c r="K31" i="115"/>
  <c r="J31" i="98"/>
  <c r="J30" i="88"/>
  <c r="J31" i="118"/>
  <c r="J31" i="102"/>
  <c r="J31" i="123"/>
  <c r="J30" i="117"/>
  <c r="J31" i="125"/>
  <c r="J30" i="95"/>
  <c r="K30" i="95"/>
  <c r="J30" i="74"/>
  <c r="J30" i="73"/>
  <c r="J31" i="75"/>
  <c r="J30" i="99"/>
  <c r="J30" i="81"/>
  <c r="J31" i="80"/>
  <c r="J30" i="110"/>
  <c r="J31" i="92"/>
  <c r="J30" i="94"/>
  <c r="J31" i="88"/>
  <c r="J31" i="67"/>
  <c r="J30" i="118"/>
  <c r="J30" i="102"/>
  <c r="J30" i="123"/>
  <c r="J31" i="117"/>
  <c r="J30" i="125"/>
  <c r="J31" i="95"/>
  <c r="K31" i="95"/>
  <c r="J31" i="74"/>
  <c r="J31" i="73"/>
  <c r="J30" i="75"/>
  <c r="J31" i="99"/>
  <c r="J31" i="81"/>
  <c r="J31" i="110"/>
  <c r="K30" i="101"/>
  <c r="J30" i="111"/>
  <c r="J31" i="111"/>
  <c r="J30" i="101"/>
  <c r="J30" i="115"/>
  <c r="K30" i="115"/>
  <c r="J31" i="101"/>
  <c r="J31" i="115"/>
  <c r="G28" i="88"/>
  <c r="G29" i="111"/>
  <c r="G29" i="73"/>
  <c r="G22" i="73"/>
  <c r="G29" i="117"/>
  <c r="G29" i="125"/>
  <c r="K29" i="111" l="1"/>
  <c r="J29" i="73"/>
  <c r="J29" i="111"/>
  <c r="J29" i="117"/>
  <c r="J29" i="125"/>
  <c r="J52" i="99" l="1"/>
  <c r="K52" i="99"/>
  <c r="G20" i="88" l="1"/>
  <c r="L20" i="88" s="1"/>
  <c r="D14" i="118"/>
  <c r="D14" i="117"/>
  <c r="D14" i="125"/>
  <c r="M18" i="125" s="1"/>
  <c r="G58" i="125"/>
  <c r="K51" i="125"/>
  <c r="J51" i="125"/>
  <c r="I32" i="125"/>
  <c r="G28" i="125"/>
  <c r="G27" i="125"/>
  <c r="G26" i="125"/>
  <c r="G25" i="125"/>
  <c r="R24" i="125"/>
  <c r="G24" i="125"/>
  <c r="G23" i="125"/>
  <c r="G22" i="125"/>
  <c r="G21" i="125"/>
  <c r="G20" i="125"/>
  <c r="G18" i="125"/>
  <c r="G17" i="125"/>
  <c r="D17" i="125"/>
  <c r="D18" i="125" s="1"/>
  <c r="D19" i="125" s="1"/>
  <c r="D20" i="125" s="1"/>
  <c r="D21" i="125" s="1"/>
  <c r="D22" i="125" s="1"/>
  <c r="D23" i="125" s="1"/>
  <c r="D24" i="125" s="1"/>
  <c r="D25" i="125" s="1"/>
  <c r="D26" i="125" s="1"/>
  <c r="D27" i="125" s="1"/>
  <c r="D28" i="125" s="1"/>
  <c r="D29" i="125" s="1"/>
  <c r="D30" i="125" s="1"/>
  <c r="D31" i="125" s="1"/>
  <c r="C17" i="125"/>
  <c r="C18" i="125" s="1"/>
  <c r="C19" i="125" s="1"/>
  <c r="C20" i="125" s="1"/>
  <c r="C21" i="125" s="1"/>
  <c r="C22" i="125" s="1"/>
  <c r="C23" i="125" s="1"/>
  <c r="C24" i="125" s="1"/>
  <c r="C25" i="125" s="1"/>
  <c r="C26" i="125" s="1"/>
  <c r="C27" i="125" s="1"/>
  <c r="C28" i="125" s="1"/>
  <c r="C29" i="125" s="1"/>
  <c r="C30" i="125" s="1"/>
  <c r="C31" i="125" s="1"/>
  <c r="Q14" i="125"/>
  <c r="T14" i="125" s="1"/>
  <c r="M8" i="125"/>
  <c r="M7" i="125"/>
  <c r="M21" i="117" l="1"/>
  <c r="M25" i="117"/>
  <c r="M19" i="125"/>
  <c r="M30" i="125"/>
  <c r="M28" i="125"/>
  <c r="M28" i="117"/>
  <c r="M31" i="117"/>
  <c r="M30" i="117"/>
  <c r="M19" i="118"/>
  <c r="M30" i="118"/>
  <c r="L33" i="118"/>
  <c r="M24" i="118"/>
  <c r="M20" i="118"/>
  <c r="H60" i="125"/>
  <c r="M17" i="117"/>
  <c r="L33" i="117"/>
  <c r="M22" i="117"/>
  <c r="M31" i="118"/>
  <c r="M22" i="118"/>
  <c r="M21" i="118"/>
  <c r="M25" i="118"/>
  <c r="M29" i="118"/>
  <c r="M22" i="125"/>
  <c r="M17" i="125"/>
  <c r="L33" i="125"/>
  <c r="M31" i="125"/>
  <c r="M25" i="125"/>
  <c r="M29" i="117"/>
  <c r="M24" i="117"/>
  <c r="M23" i="117"/>
  <c r="M28" i="118"/>
  <c r="M27" i="118"/>
  <c r="M23" i="118"/>
  <c r="M17" i="118"/>
  <c r="M18" i="118"/>
  <c r="K20" i="88"/>
  <c r="K24" i="125"/>
  <c r="M19" i="117"/>
  <c r="M20" i="125"/>
  <c r="M26" i="118"/>
  <c r="K19" i="125"/>
  <c r="K26" i="125"/>
  <c r="K20" i="125"/>
  <c r="K27" i="125"/>
  <c r="J18" i="125"/>
  <c r="J22" i="125"/>
  <c r="J23" i="125"/>
  <c r="J24" i="125"/>
  <c r="M26" i="117"/>
  <c r="J17" i="125"/>
  <c r="K21" i="125"/>
  <c r="K23" i="125"/>
  <c r="K28" i="125"/>
  <c r="M29" i="125"/>
  <c r="M26" i="125"/>
  <c r="K25" i="125"/>
  <c r="K22" i="125"/>
  <c r="J19" i="125"/>
  <c r="J20" i="125"/>
  <c r="J21" i="125"/>
  <c r="M23" i="125"/>
  <c r="J25" i="125"/>
  <c r="J26" i="125"/>
  <c r="J27" i="125"/>
  <c r="J28" i="125"/>
  <c r="H48" i="125"/>
  <c r="M24" i="125"/>
  <c r="N33" i="125"/>
  <c r="D27" i="65" s="1"/>
  <c r="F136" i="90" s="1"/>
  <c r="M27" i="125"/>
  <c r="G14" i="125"/>
  <c r="M21" i="125"/>
  <c r="L32" i="125" l="1"/>
  <c r="I48" i="125"/>
  <c r="N24" i="125"/>
  <c r="O24" i="125" s="1"/>
  <c r="K32" i="125"/>
  <c r="N36" i="125" s="1"/>
  <c r="G27" i="65" s="1"/>
  <c r="F138" i="90" s="1"/>
  <c r="N28" i="125"/>
  <c r="O28" i="125" s="1"/>
  <c r="N22" i="125"/>
  <c r="O22" i="125" s="1"/>
  <c r="N29" i="125"/>
  <c r="O29" i="125" s="1"/>
  <c r="N27" i="125"/>
  <c r="O27" i="125" s="1"/>
  <c r="N21" i="125"/>
  <c r="O21" i="125" s="1"/>
  <c r="N31" i="125"/>
  <c r="O31" i="125" s="1"/>
  <c r="N23" i="125"/>
  <c r="O23" i="125" s="1"/>
  <c r="N30" i="125"/>
  <c r="O30" i="125" s="1"/>
  <c r="N26" i="125"/>
  <c r="O26" i="125" s="1"/>
  <c r="N20" i="125"/>
  <c r="O20" i="125" s="1"/>
  <c r="N17" i="125"/>
  <c r="O17" i="125" s="1"/>
  <c r="N18" i="125"/>
  <c r="O18" i="125" s="1"/>
  <c r="M32" i="125"/>
  <c r="N34" i="125" s="1"/>
  <c r="N25" i="125"/>
  <c r="O25" i="125" s="1"/>
  <c r="N19" i="125"/>
  <c r="O19" i="125" s="1"/>
  <c r="J32" i="125"/>
  <c r="J34" i="125" s="1"/>
  <c r="N35" i="125" l="1"/>
  <c r="E27" i="65"/>
  <c r="F143" i="90" s="1"/>
  <c r="P22" i="125"/>
  <c r="O32" i="125"/>
  <c r="P31" i="125"/>
  <c r="P29" i="125"/>
  <c r="N53" i="125"/>
  <c r="N37" i="125" s="1"/>
  <c r="H27" i="65" s="1"/>
  <c r="F139" i="90" s="1"/>
  <c r="T27" i="65"/>
  <c r="N38" i="125" l="1"/>
  <c r="F27" i="65"/>
  <c r="I27" i="65" s="1"/>
  <c r="U27" i="65" s="1"/>
  <c r="Y27" i="65" s="1"/>
  <c r="P32" i="125"/>
  <c r="Q32" i="125" s="1"/>
  <c r="O34" i="125"/>
  <c r="B76" i="90"/>
  <c r="AB27" i="65" l="1"/>
  <c r="AD27" i="65" s="1"/>
  <c r="B178" i="113"/>
  <c r="H178" i="113"/>
  <c r="F178" i="113"/>
  <c r="B22" i="113"/>
  <c r="G179" i="113" l="1"/>
  <c r="C179" i="113"/>
  <c r="D14" i="124" l="1"/>
  <c r="L33" i="124" s="1"/>
  <c r="N34" i="124" s="1"/>
  <c r="F58" i="124"/>
  <c r="G60" i="124" s="1"/>
  <c r="K52" i="124"/>
  <c r="J52" i="124"/>
  <c r="K51" i="124"/>
  <c r="J51" i="124"/>
  <c r="I32" i="124"/>
  <c r="G31" i="124"/>
  <c r="J31" i="124" s="1"/>
  <c r="G30" i="124"/>
  <c r="J30" i="124" s="1"/>
  <c r="G29" i="124"/>
  <c r="K29" i="124" s="1"/>
  <c r="G28" i="124"/>
  <c r="K28" i="124" s="1"/>
  <c r="G27" i="124"/>
  <c r="K27" i="124" s="1"/>
  <c r="G26" i="124"/>
  <c r="K26" i="124" s="1"/>
  <c r="G25" i="124"/>
  <c r="K25" i="124" s="1"/>
  <c r="R24" i="124"/>
  <c r="G24" i="124"/>
  <c r="J24" i="124" s="1"/>
  <c r="G23" i="124"/>
  <c r="K23" i="124" s="1"/>
  <c r="G22" i="124"/>
  <c r="J22" i="124" s="1"/>
  <c r="G21" i="124"/>
  <c r="K21" i="124" s="1"/>
  <c r="G20" i="124"/>
  <c r="J20" i="124" s="1"/>
  <c r="G19" i="124"/>
  <c r="J19" i="124" s="1"/>
  <c r="G18" i="124"/>
  <c r="K18" i="124" s="1"/>
  <c r="G17" i="124"/>
  <c r="J17" i="124" s="1"/>
  <c r="D17" i="124"/>
  <c r="D18" i="124" s="1"/>
  <c r="D19" i="124" s="1"/>
  <c r="D20" i="124" s="1"/>
  <c r="D21" i="124" s="1"/>
  <c r="D22" i="124" s="1"/>
  <c r="D23" i="124" s="1"/>
  <c r="D24" i="124" s="1"/>
  <c r="D25" i="124" s="1"/>
  <c r="D26" i="124" s="1"/>
  <c r="D27" i="124" s="1"/>
  <c r="D28" i="124" s="1"/>
  <c r="D29" i="124" s="1"/>
  <c r="D30" i="124" s="1"/>
  <c r="D31" i="124" s="1"/>
  <c r="C17" i="124"/>
  <c r="C18" i="124" s="1"/>
  <c r="C19" i="124" s="1"/>
  <c r="C20" i="124" s="1"/>
  <c r="C21" i="124" s="1"/>
  <c r="C22" i="124" s="1"/>
  <c r="C23" i="124" s="1"/>
  <c r="C24" i="124" s="1"/>
  <c r="C25" i="124" s="1"/>
  <c r="C26" i="124" s="1"/>
  <c r="C27" i="124" s="1"/>
  <c r="C28" i="124" s="1"/>
  <c r="C29" i="124" s="1"/>
  <c r="C30" i="124" s="1"/>
  <c r="C31" i="124" s="1"/>
  <c r="Q14" i="124"/>
  <c r="T14" i="124" s="1"/>
  <c r="M8" i="124"/>
  <c r="M7" i="124"/>
  <c r="G29" i="110"/>
  <c r="L18" i="124" l="1"/>
  <c r="K19" i="124"/>
  <c r="L21" i="124"/>
  <c r="J21" i="124"/>
  <c r="K20" i="124"/>
  <c r="M26" i="124"/>
  <c r="M23" i="124"/>
  <c r="M24" i="124"/>
  <c r="L19" i="124"/>
  <c r="K30" i="124"/>
  <c r="K31" i="124"/>
  <c r="M25" i="124"/>
  <c r="M28" i="124"/>
  <c r="M22" i="124"/>
  <c r="K29" i="110"/>
  <c r="K17" i="124"/>
  <c r="J18" i="124"/>
  <c r="M19" i="124"/>
  <c r="M20" i="124"/>
  <c r="K22" i="124"/>
  <c r="J23" i="124"/>
  <c r="J25" i="124"/>
  <c r="J26" i="124"/>
  <c r="J27" i="124"/>
  <c r="J28" i="124"/>
  <c r="J29" i="124"/>
  <c r="N33" i="124"/>
  <c r="N35" i="124" s="1"/>
  <c r="H48" i="124"/>
  <c r="L17" i="124"/>
  <c r="M21" i="124"/>
  <c r="G14" i="124"/>
  <c r="M17" i="124"/>
  <c r="M27" i="124"/>
  <c r="M29" i="124"/>
  <c r="M18" i="124"/>
  <c r="M30" i="124"/>
  <c r="M31" i="124"/>
  <c r="T23" i="65"/>
  <c r="D14" i="122"/>
  <c r="D14" i="123"/>
  <c r="M28" i="123" l="1"/>
  <c r="M22" i="123"/>
  <c r="L32" i="124"/>
  <c r="M23" i="123"/>
  <c r="M31" i="123"/>
  <c r="M26" i="123"/>
  <c r="M19" i="123"/>
  <c r="M24" i="123"/>
  <c r="L33" i="123"/>
  <c r="N21" i="124"/>
  <c r="O21" i="124" s="1"/>
  <c r="M21" i="123"/>
  <c r="M30" i="123"/>
  <c r="M27" i="123"/>
  <c r="M26" i="122"/>
  <c r="L33" i="122"/>
  <c r="M18" i="123"/>
  <c r="M17" i="123"/>
  <c r="M19" i="122"/>
  <c r="M17" i="122"/>
  <c r="M28" i="122"/>
  <c r="M18" i="122"/>
  <c r="N29" i="124"/>
  <c r="O29" i="124" s="1"/>
  <c r="N25" i="124"/>
  <c r="O25" i="124" s="1"/>
  <c r="N22" i="124"/>
  <c r="O22" i="124" s="1"/>
  <c r="N28" i="124"/>
  <c r="O28" i="124" s="1"/>
  <c r="N23" i="124"/>
  <c r="O23" i="124" s="1"/>
  <c r="N18" i="124"/>
  <c r="O18" i="124" s="1"/>
  <c r="J32" i="124"/>
  <c r="J34" i="124" s="1"/>
  <c r="N19" i="124"/>
  <c r="O19" i="124" s="1"/>
  <c r="N51" i="124"/>
  <c r="I48" i="124"/>
  <c r="N27" i="124"/>
  <c r="K32" i="124"/>
  <c r="N36" i="124" s="1"/>
  <c r="N17" i="124"/>
  <c r="O17" i="124" s="1"/>
  <c r="N52" i="124"/>
  <c r="O27" i="124"/>
  <c r="M32" i="124"/>
  <c r="N26" i="124"/>
  <c r="O26" i="124" s="1"/>
  <c r="N24" i="124"/>
  <c r="O24" i="124" s="1"/>
  <c r="N30" i="124"/>
  <c r="O30" i="124" s="1"/>
  <c r="N31" i="124"/>
  <c r="O31" i="124" s="1"/>
  <c r="N20" i="124"/>
  <c r="O20" i="124" s="1"/>
  <c r="J51" i="67"/>
  <c r="K76" i="123"/>
  <c r="N76" i="123" s="1"/>
  <c r="J76" i="123"/>
  <c r="K75" i="123"/>
  <c r="N75" i="123" s="1"/>
  <c r="J75" i="123"/>
  <c r="K51" i="123"/>
  <c r="I32" i="123"/>
  <c r="G29" i="123"/>
  <c r="G28" i="123"/>
  <c r="G27" i="123"/>
  <c r="G26" i="123"/>
  <c r="G25" i="123"/>
  <c r="R24" i="123"/>
  <c r="G24" i="123"/>
  <c r="G23" i="123"/>
  <c r="L23" i="123" s="1"/>
  <c r="G22" i="123"/>
  <c r="G21" i="123"/>
  <c r="G20" i="123"/>
  <c r="L20" i="123" s="1"/>
  <c r="G19" i="123"/>
  <c r="G18" i="123"/>
  <c r="G17" i="123"/>
  <c r="D17" i="123"/>
  <c r="D18" i="123" s="1"/>
  <c r="D19" i="123" s="1"/>
  <c r="D20" i="123" s="1"/>
  <c r="D21" i="123" s="1"/>
  <c r="D22" i="123" s="1"/>
  <c r="D23" i="123" s="1"/>
  <c r="D24" i="123" s="1"/>
  <c r="D25" i="123" s="1"/>
  <c r="D26" i="123" s="1"/>
  <c r="D27" i="123" s="1"/>
  <c r="D28" i="123" s="1"/>
  <c r="D29" i="123" s="1"/>
  <c r="D30" i="123" s="1"/>
  <c r="D31" i="123" s="1"/>
  <c r="C17" i="123"/>
  <c r="C18" i="123" s="1"/>
  <c r="C19" i="123" s="1"/>
  <c r="C20" i="123" s="1"/>
  <c r="C21" i="123" s="1"/>
  <c r="C22" i="123" s="1"/>
  <c r="C23" i="123" s="1"/>
  <c r="C24" i="123" s="1"/>
  <c r="C25" i="123" s="1"/>
  <c r="C26" i="123" s="1"/>
  <c r="C27" i="123" s="1"/>
  <c r="C28" i="123" s="1"/>
  <c r="C29" i="123" s="1"/>
  <c r="C30" i="123" s="1"/>
  <c r="C31" i="123" s="1"/>
  <c r="M25" i="123"/>
  <c r="M8" i="123"/>
  <c r="M7" i="123"/>
  <c r="K76" i="122"/>
  <c r="N76" i="122" s="1"/>
  <c r="J76" i="122"/>
  <c r="K75" i="122"/>
  <c r="N75" i="122" s="1"/>
  <c r="J75" i="122"/>
  <c r="J52" i="122"/>
  <c r="K51" i="122"/>
  <c r="J51" i="122"/>
  <c r="I32" i="122"/>
  <c r="G31" i="122"/>
  <c r="G30" i="122"/>
  <c r="G29" i="122"/>
  <c r="G28" i="122"/>
  <c r="K28" i="122" s="1"/>
  <c r="G27" i="122"/>
  <c r="G26" i="122"/>
  <c r="L26" i="122" s="1"/>
  <c r="G25" i="122"/>
  <c r="R24" i="122"/>
  <c r="G24" i="122"/>
  <c r="G23" i="122"/>
  <c r="G22" i="122"/>
  <c r="G21" i="122"/>
  <c r="K21" i="122" s="1"/>
  <c r="G20" i="122"/>
  <c r="G19" i="122"/>
  <c r="L19" i="122" s="1"/>
  <c r="G18" i="122"/>
  <c r="G17" i="122"/>
  <c r="D17" i="122"/>
  <c r="D18" i="122" s="1"/>
  <c r="D19" i="122" s="1"/>
  <c r="D20" i="122" s="1"/>
  <c r="D21" i="122" s="1"/>
  <c r="D22" i="122" s="1"/>
  <c r="D23" i="122" s="1"/>
  <c r="D24" i="122" s="1"/>
  <c r="D25" i="122" s="1"/>
  <c r="D26" i="122" s="1"/>
  <c r="D27" i="122" s="1"/>
  <c r="D28" i="122" s="1"/>
  <c r="D29" i="122" s="1"/>
  <c r="D30" i="122" s="1"/>
  <c r="D31" i="122" s="1"/>
  <c r="C17" i="122"/>
  <c r="C18" i="122" s="1"/>
  <c r="C19" i="122" s="1"/>
  <c r="C20" i="122" s="1"/>
  <c r="C21" i="122" s="1"/>
  <c r="C22" i="122" s="1"/>
  <c r="C23" i="122" s="1"/>
  <c r="C24" i="122" s="1"/>
  <c r="C25" i="122" s="1"/>
  <c r="C26" i="122" s="1"/>
  <c r="C27" i="122" s="1"/>
  <c r="C28" i="122" s="1"/>
  <c r="C29" i="122" s="1"/>
  <c r="C30" i="122" s="1"/>
  <c r="C31" i="122" s="1"/>
  <c r="M25" i="122"/>
  <c r="M8" i="122"/>
  <c r="M7" i="122"/>
  <c r="N78" i="122" l="1"/>
  <c r="J22" i="123"/>
  <c r="N78" i="123"/>
  <c r="J17" i="122"/>
  <c r="L17" i="122"/>
  <c r="J17" i="123"/>
  <c r="K21" i="123"/>
  <c r="K28" i="123"/>
  <c r="J18" i="122"/>
  <c r="L18" i="122"/>
  <c r="J24" i="122"/>
  <c r="L24" i="122"/>
  <c r="J25" i="122"/>
  <c r="L25" i="122"/>
  <c r="K31" i="122"/>
  <c r="L31" i="122"/>
  <c r="K18" i="123"/>
  <c r="K25" i="123"/>
  <c r="J24" i="123"/>
  <c r="K27" i="123"/>
  <c r="K27" i="122"/>
  <c r="L27" i="122"/>
  <c r="J21" i="122"/>
  <c r="K20" i="122"/>
  <c r="L20" i="122"/>
  <c r="J23" i="122"/>
  <c r="L23" i="122"/>
  <c r="J30" i="122"/>
  <c r="L30" i="122"/>
  <c r="J23" i="123"/>
  <c r="K20" i="123"/>
  <c r="J29" i="123"/>
  <c r="J29" i="122"/>
  <c r="J22" i="122"/>
  <c r="J20" i="123"/>
  <c r="J27" i="122"/>
  <c r="J20" i="122"/>
  <c r="K25" i="122"/>
  <c r="J25" i="123"/>
  <c r="J27" i="123"/>
  <c r="J28" i="123"/>
  <c r="K22" i="123"/>
  <c r="N53" i="124"/>
  <c r="N37" i="124" s="1"/>
  <c r="N38" i="124" s="1"/>
  <c r="O32" i="124"/>
  <c r="P31" i="124"/>
  <c r="P29" i="124"/>
  <c r="P22" i="124"/>
  <c r="K26" i="123"/>
  <c r="J18" i="123"/>
  <c r="K19" i="123"/>
  <c r="J21" i="123"/>
  <c r="K26" i="122"/>
  <c r="J28" i="122"/>
  <c r="J31" i="122"/>
  <c r="J26" i="122"/>
  <c r="J19" i="122"/>
  <c r="K19" i="122"/>
  <c r="K18" i="122"/>
  <c r="M20" i="123"/>
  <c r="M29" i="123"/>
  <c r="H48" i="123"/>
  <c r="J19" i="123"/>
  <c r="J26" i="123"/>
  <c r="N33" i="123"/>
  <c r="D23" i="65" s="1"/>
  <c r="G14" i="123"/>
  <c r="K17" i="122"/>
  <c r="M20" i="122"/>
  <c r="M22" i="122"/>
  <c r="K23" i="122"/>
  <c r="M27" i="122"/>
  <c r="M29" i="122"/>
  <c r="M30" i="122"/>
  <c r="M31" i="122"/>
  <c r="N34" i="122"/>
  <c r="H48" i="122"/>
  <c r="N51" i="122" s="1"/>
  <c r="M21" i="122"/>
  <c r="M23" i="122"/>
  <c r="M24" i="122"/>
  <c r="N33" i="122"/>
  <c r="G14" i="122"/>
  <c r="N30" i="122" s="1"/>
  <c r="B230" i="90" l="1"/>
  <c r="N23" i="122"/>
  <c r="O23" i="122" s="1"/>
  <c r="N21" i="123"/>
  <c r="O21" i="123" s="1"/>
  <c r="N23" i="123"/>
  <c r="O23" i="123" s="1"/>
  <c r="N26" i="123"/>
  <c r="O26" i="123" s="1"/>
  <c r="P32" i="124"/>
  <c r="Q32" i="124" s="1"/>
  <c r="O34" i="124"/>
  <c r="L32" i="123"/>
  <c r="J32" i="122"/>
  <c r="J34" i="122" s="1"/>
  <c r="I48" i="123"/>
  <c r="K32" i="123"/>
  <c r="N36" i="123" s="1"/>
  <c r="G23" i="65" s="1"/>
  <c r="B232" i="90" s="1"/>
  <c r="N17" i="123"/>
  <c r="O17" i="123" s="1"/>
  <c r="N18" i="123"/>
  <c r="O18" i="123" s="1"/>
  <c r="N30" i="123"/>
  <c r="O30" i="123" s="1"/>
  <c r="N29" i="123"/>
  <c r="O29" i="123" s="1"/>
  <c r="N31" i="123"/>
  <c r="O31" i="123" s="1"/>
  <c r="N28" i="123"/>
  <c r="O28" i="123" s="1"/>
  <c r="N22" i="123"/>
  <c r="O22" i="123" s="1"/>
  <c r="N19" i="123"/>
  <c r="O19" i="123" s="1"/>
  <c r="N27" i="123"/>
  <c r="O27" i="123" s="1"/>
  <c r="N24" i="123"/>
  <c r="O24" i="123" s="1"/>
  <c r="N25" i="123"/>
  <c r="O25" i="123" s="1"/>
  <c r="N20" i="123"/>
  <c r="O20" i="123" s="1"/>
  <c r="M32" i="123"/>
  <c r="N34" i="123" s="1"/>
  <c r="J32" i="123"/>
  <c r="J34" i="123" s="1"/>
  <c r="N52" i="122"/>
  <c r="I48" i="122"/>
  <c r="N24" i="122"/>
  <c r="O24" i="122" s="1"/>
  <c r="N28" i="122"/>
  <c r="O28" i="122" s="1"/>
  <c r="N22" i="122"/>
  <c r="O22" i="122" s="1"/>
  <c r="N27" i="122"/>
  <c r="O27" i="122" s="1"/>
  <c r="N19" i="122"/>
  <c r="O19" i="122" s="1"/>
  <c r="N26" i="122"/>
  <c r="O26" i="122" s="1"/>
  <c r="N21" i="122"/>
  <c r="O21" i="122" s="1"/>
  <c r="M32" i="122"/>
  <c r="N35" i="122"/>
  <c r="K32" i="122"/>
  <c r="N36" i="122" s="1"/>
  <c r="N20" i="122"/>
  <c r="O20" i="122" s="1"/>
  <c r="N25" i="122"/>
  <c r="O25" i="122" s="1"/>
  <c r="L32" i="122"/>
  <c r="O30" i="122"/>
  <c r="N29" i="122"/>
  <c r="O29" i="122" s="1"/>
  <c r="N31" i="122"/>
  <c r="O31" i="122" s="1"/>
  <c r="N18" i="122"/>
  <c r="O18" i="122" s="1"/>
  <c r="N17" i="122"/>
  <c r="O17" i="122" s="1"/>
  <c r="E23" i="65" l="1"/>
  <c r="N35" i="123"/>
  <c r="M22" i="94"/>
  <c r="M19" i="94"/>
  <c r="M18" i="94"/>
  <c r="M16" i="94"/>
  <c r="M17" i="94"/>
  <c r="P22" i="122"/>
  <c r="P31" i="123"/>
  <c r="P29" i="123"/>
  <c r="N53" i="123"/>
  <c r="N37" i="123" s="1"/>
  <c r="H23" i="65" s="1"/>
  <c r="B233" i="90" s="1"/>
  <c r="O32" i="123"/>
  <c r="P22" i="123"/>
  <c r="O32" i="122"/>
  <c r="P31" i="122"/>
  <c r="P29" i="122"/>
  <c r="N53" i="122"/>
  <c r="N37" i="122" s="1"/>
  <c r="N38" i="122" s="1"/>
  <c r="B237" i="90" l="1"/>
  <c r="B240" i="90" s="1"/>
  <c r="C241" i="90" s="1"/>
  <c r="F23" i="65"/>
  <c r="I23" i="65" s="1"/>
  <c r="U23" i="65" s="1"/>
  <c r="Y23" i="65" s="1"/>
  <c r="N38" i="123"/>
  <c r="M31" i="94"/>
  <c r="N33" i="94" s="1"/>
  <c r="P32" i="122"/>
  <c r="Q32" i="122" s="1"/>
  <c r="O34" i="123"/>
  <c r="P32" i="123"/>
  <c r="Q32" i="123" s="1"/>
  <c r="O34" i="122"/>
  <c r="G27" i="92"/>
  <c r="G26" i="96"/>
  <c r="G27" i="98"/>
  <c r="G26" i="94"/>
  <c r="G27" i="88"/>
  <c r="G31" i="112"/>
  <c r="G27" i="112"/>
  <c r="K27" i="112" s="1"/>
  <c r="G27" i="67"/>
  <c r="G27" i="118"/>
  <c r="G27" i="102"/>
  <c r="G27" i="95"/>
  <c r="G27" i="74"/>
  <c r="G27" i="73"/>
  <c r="G27" i="75"/>
  <c r="G27" i="81"/>
  <c r="G27" i="115"/>
  <c r="G27" i="101"/>
  <c r="G27" i="111"/>
  <c r="G31" i="120"/>
  <c r="J31" i="120" s="1"/>
  <c r="G27" i="120"/>
  <c r="J27" i="120" s="1"/>
  <c r="G27" i="82"/>
  <c r="J27" i="82" s="1"/>
  <c r="G27" i="80"/>
  <c r="AB23" i="65" l="1"/>
  <c r="AD23" i="65" s="1"/>
  <c r="E18" i="65"/>
  <c r="J27" i="118"/>
  <c r="K26" i="94"/>
  <c r="K27" i="111"/>
  <c r="J27" i="92"/>
  <c r="J26" i="94"/>
  <c r="K27" i="88"/>
  <c r="K27" i="67"/>
  <c r="K27" i="118"/>
  <c r="J27" i="102"/>
  <c r="K27" i="95"/>
  <c r="K27" i="74"/>
  <c r="K27" i="73"/>
  <c r="K27" i="75"/>
  <c r="J27" i="81"/>
  <c r="K27" i="101"/>
  <c r="K27" i="82"/>
  <c r="K27" i="80"/>
  <c r="J26" i="96"/>
  <c r="K26" i="96"/>
  <c r="K31" i="112"/>
  <c r="L31" i="112"/>
  <c r="K27" i="102"/>
  <c r="K27" i="120"/>
  <c r="J27" i="111"/>
  <c r="K31" i="120"/>
  <c r="K27" i="81"/>
  <c r="J27" i="73"/>
  <c r="J27" i="74"/>
  <c r="J27" i="95"/>
  <c r="J27" i="67"/>
  <c r="K27" i="92"/>
  <c r="J27" i="98"/>
  <c r="J27" i="88"/>
  <c r="J31" i="112"/>
  <c r="J27" i="112"/>
  <c r="J27" i="117"/>
  <c r="J27" i="75"/>
  <c r="J27" i="99"/>
  <c r="J27" i="115"/>
  <c r="J27" i="101"/>
  <c r="J27" i="80"/>
  <c r="D240" i="113" l="1"/>
  <c r="B240" i="113"/>
  <c r="F102" i="113"/>
  <c r="F101" i="113"/>
  <c r="H116" i="113"/>
  <c r="F116" i="113"/>
  <c r="G117" i="113" l="1"/>
  <c r="C241" i="113"/>
  <c r="T15" i="65" l="1"/>
  <c r="T16" i="65"/>
  <c r="T17" i="65"/>
  <c r="T18" i="65"/>
  <c r="T19" i="65"/>
  <c r="T20" i="65"/>
  <c r="T26" i="65"/>
  <c r="T21" i="65"/>
  <c r="T22" i="65"/>
  <c r="T28" i="65"/>
  <c r="T29" i="65"/>
  <c r="T30" i="65"/>
  <c r="T31" i="65"/>
  <c r="T32" i="65"/>
  <c r="T34" i="65"/>
  <c r="T39" i="65"/>
  <c r="T40" i="65"/>
  <c r="T41" i="65"/>
  <c r="T42" i="65"/>
  <c r="T43" i="65"/>
  <c r="T44" i="65"/>
  <c r="T45" i="65"/>
  <c r="T33" i="65"/>
  <c r="T46" i="65"/>
  <c r="T47" i="65"/>
  <c r="T48" i="65"/>
  <c r="T49" i="65"/>
  <c r="T50" i="65"/>
  <c r="T51" i="65"/>
  <c r="T52" i="65"/>
  <c r="T53" i="65"/>
  <c r="T54" i="65"/>
  <c r="T55" i="65"/>
  <c r="T57" i="65"/>
  <c r="T58" i="65"/>
  <c r="T59" i="65"/>
  <c r="F15" i="65"/>
  <c r="I15" i="65" s="1"/>
  <c r="F28" i="65"/>
  <c r="I28" i="65" s="1"/>
  <c r="F39" i="65"/>
  <c r="I39" i="65" s="1"/>
  <c r="F44" i="65"/>
  <c r="I44" i="65" s="1"/>
  <c r="F46" i="65"/>
  <c r="I46" i="65" s="1"/>
  <c r="F47" i="65"/>
  <c r="I47" i="65" s="1"/>
  <c r="F48" i="65"/>
  <c r="I48" i="65" s="1"/>
  <c r="F49" i="65"/>
  <c r="I49" i="65" s="1"/>
  <c r="F50" i="65"/>
  <c r="I50" i="65" s="1"/>
  <c r="F51" i="65"/>
  <c r="I51" i="65" s="1"/>
  <c r="F52" i="65"/>
  <c r="I52" i="65" s="1"/>
  <c r="F53" i="65"/>
  <c r="I53" i="65" s="1"/>
  <c r="F54" i="65"/>
  <c r="I54" i="65" s="1"/>
  <c r="F55" i="65"/>
  <c r="I55" i="65" s="1"/>
  <c r="F57" i="65"/>
  <c r="I57" i="65" s="1"/>
  <c r="F58" i="65"/>
  <c r="I58" i="65" s="1"/>
  <c r="D14" i="80"/>
  <c r="M20" i="80" l="1"/>
  <c r="M31" i="80"/>
  <c r="L33" i="80"/>
  <c r="M17" i="80"/>
  <c r="M29" i="80"/>
  <c r="M19" i="80"/>
  <c r="M25" i="80"/>
  <c r="U57" i="65"/>
  <c r="U50" i="65"/>
  <c r="Y50" i="65" s="1"/>
  <c r="U39" i="65"/>
  <c r="U46" i="65"/>
  <c r="Y46" i="65" s="1"/>
  <c r="U48" i="65"/>
  <c r="Y48" i="65" s="1"/>
  <c r="U55" i="65"/>
  <c r="U52" i="65"/>
  <c r="Y52" i="65" s="1"/>
  <c r="U15" i="65"/>
  <c r="U54" i="65"/>
  <c r="Y54" i="65" s="1"/>
  <c r="U28" i="65"/>
  <c r="Y28" i="65" s="1"/>
  <c r="U49" i="65"/>
  <c r="Y49" i="65" s="1"/>
  <c r="M27" i="80"/>
  <c r="U58" i="65"/>
  <c r="Y58" i="65" s="1"/>
  <c r="U51" i="65"/>
  <c r="Y51" i="65" s="1"/>
  <c r="U47" i="65"/>
  <c r="Y47" i="65" s="1"/>
  <c r="AB47" i="65" s="1"/>
  <c r="AD47" i="65" s="1"/>
  <c r="U44" i="65"/>
  <c r="Y44" i="65" s="1"/>
  <c r="U53" i="65"/>
  <c r="Y53" i="65" s="1"/>
  <c r="Y55" i="65" l="1"/>
  <c r="AB55" i="65" s="1"/>
  <c r="AD55" i="65" s="1"/>
  <c r="Y57" i="65"/>
  <c r="AB57" i="65" s="1"/>
  <c r="AD57" i="65" s="1"/>
  <c r="G29" i="88" l="1"/>
  <c r="K29" i="88" l="1"/>
  <c r="AC64" i="65"/>
  <c r="AC67" i="65" s="1"/>
  <c r="G19" i="92"/>
  <c r="G25" i="96"/>
  <c r="G18" i="96"/>
  <c r="G26" i="98"/>
  <c r="G19" i="98"/>
  <c r="G18" i="94"/>
  <c r="G26" i="88"/>
  <c r="G19" i="88"/>
  <c r="G26" i="112"/>
  <c r="G19" i="112"/>
  <c r="J19" i="112" s="1"/>
  <c r="F25" i="45"/>
  <c r="K25" i="45" s="1"/>
  <c r="F18" i="45"/>
  <c r="G26" i="67"/>
  <c r="G19" i="67"/>
  <c r="G26" i="117"/>
  <c r="G19" i="118"/>
  <c r="G26" i="102"/>
  <c r="G19" i="102"/>
  <c r="G26" i="95"/>
  <c r="G19" i="95"/>
  <c r="K19" i="95" s="1"/>
  <c r="G26" i="74"/>
  <c r="G19" i="74"/>
  <c r="G26" i="73"/>
  <c r="G19" i="73"/>
  <c r="G26" i="75"/>
  <c r="G19" i="75"/>
  <c r="G26" i="99"/>
  <c r="G19" i="99"/>
  <c r="G26" i="81"/>
  <c r="G19" i="81"/>
  <c r="G26" i="115"/>
  <c r="G19" i="115"/>
  <c r="G26" i="101"/>
  <c r="G19" i="101"/>
  <c r="G26" i="111"/>
  <c r="G19" i="111"/>
  <c r="L19" i="111" s="1"/>
  <c r="G26" i="120"/>
  <c r="L26" i="120" s="1"/>
  <c r="G19" i="120"/>
  <c r="L19" i="120" s="1"/>
  <c r="G26" i="82"/>
  <c r="G19" i="82"/>
  <c r="G26" i="80"/>
  <c r="K18" i="94" l="1"/>
  <c r="K26" i="95"/>
  <c r="K26" i="102"/>
  <c r="K26" i="118"/>
  <c r="K26" i="67"/>
  <c r="K18" i="96"/>
  <c r="J18" i="94"/>
  <c r="K25" i="94"/>
  <c r="K26" i="88"/>
  <c r="K26" i="75"/>
  <c r="K26" i="115"/>
  <c r="K25" i="96"/>
  <c r="K19" i="88"/>
  <c r="F102" i="89"/>
  <c r="F101" i="89"/>
  <c r="H116" i="89"/>
  <c r="F132" i="90"/>
  <c r="F131" i="90"/>
  <c r="H146" i="90"/>
  <c r="F146" i="90" l="1"/>
  <c r="G147" i="90" s="1"/>
  <c r="D14" i="120" l="1"/>
  <c r="F62" i="120"/>
  <c r="G64" i="120" s="1"/>
  <c r="K52" i="120"/>
  <c r="J52" i="120"/>
  <c r="K51" i="120"/>
  <c r="J51" i="120"/>
  <c r="I32" i="120"/>
  <c r="G30" i="120"/>
  <c r="J30" i="120" s="1"/>
  <c r="G29" i="120"/>
  <c r="J29" i="120" s="1"/>
  <c r="G28" i="120"/>
  <c r="K26" i="120"/>
  <c r="G25" i="120"/>
  <c r="R24" i="120"/>
  <c r="G24" i="120"/>
  <c r="G23" i="120"/>
  <c r="J23" i="120" s="1"/>
  <c r="M22" i="120"/>
  <c r="G22" i="120"/>
  <c r="J22" i="120" s="1"/>
  <c r="M21" i="120"/>
  <c r="G21" i="120"/>
  <c r="M20" i="120"/>
  <c r="G20" i="120"/>
  <c r="K19" i="120"/>
  <c r="G18" i="120"/>
  <c r="K18" i="120" s="1"/>
  <c r="G17" i="120"/>
  <c r="D17" i="120"/>
  <c r="D18" i="120" s="1"/>
  <c r="D19" i="120" s="1"/>
  <c r="D20" i="120" s="1"/>
  <c r="D21" i="120" s="1"/>
  <c r="D22" i="120" s="1"/>
  <c r="D23" i="120" s="1"/>
  <c r="D24" i="120" s="1"/>
  <c r="D25" i="120" s="1"/>
  <c r="D26" i="120" s="1"/>
  <c r="D27" i="120" s="1"/>
  <c r="D28" i="120" s="1"/>
  <c r="D29" i="120" s="1"/>
  <c r="D30" i="120" s="1"/>
  <c r="D31" i="120" s="1"/>
  <c r="C17" i="120"/>
  <c r="C18" i="120" s="1"/>
  <c r="C19" i="120" s="1"/>
  <c r="C20" i="120" s="1"/>
  <c r="C21" i="120" s="1"/>
  <c r="C22" i="120" s="1"/>
  <c r="C23" i="120" s="1"/>
  <c r="C24" i="120" s="1"/>
  <c r="C25" i="120" s="1"/>
  <c r="C26" i="120" s="1"/>
  <c r="C27" i="120" s="1"/>
  <c r="C28" i="120" s="1"/>
  <c r="C29" i="120" s="1"/>
  <c r="C30" i="120" s="1"/>
  <c r="C31" i="120" s="1"/>
  <c r="Q14" i="120"/>
  <c r="T14" i="120" s="1"/>
  <c r="G14" i="120"/>
  <c r="L33" i="120"/>
  <c r="N34" i="120" s="1"/>
  <c r="M8" i="120"/>
  <c r="M7" i="120"/>
  <c r="I32" i="102"/>
  <c r="J29" i="88"/>
  <c r="G19" i="94"/>
  <c r="J18" i="96"/>
  <c r="J21" i="120" l="1"/>
  <c r="L21" i="120"/>
  <c r="J17" i="120"/>
  <c r="L17" i="120"/>
  <c r="J24" i="120"/>
  <c r="L24" i="120"/>
  <c r="J25" i="120"/>
  <c r="K28" i="120"/>
  <c r="L28" i="120"/>
  <c r="K20" i="120"/>
  <c r="N31" i="120"/>
  <c r="J28" i="120"/>
  <c r="J26" i="120"/>
  <c r="N26" i="120" s="1"/>
  <c r="K25" i="120"/>
  <c r="K24" i="120"/>
  <c r="K23" i="120"/>
  <c r="N23" i="120" s="1"/>
  <c r="N27" i="120"/>
  <c r="N30" i="120"/>
  <c r="N29" i="120"/>
  <c r="K17" i="120"/>
  <c r="M18" i="120"/>
  <c r="M19" i="120"/>
  <c r="K21" i="120"/>
  <c r="K22" i="120"/>
  <c r="N22" i="120" s="1"/>
  <c r="O22" i="120" s="1"/>
  <c r="N33" i="120"/>
  <c r="N35" i="120" s="1"/>
  <c r="H48" i="120"/>
  <c r="I48" i="120" s="1"/>
  <c r="J18" i="120"/>
  <c r="N18" i="120" s="1"/>
  <c r="J19" i="120"/>
  <c r="N19" i="120" s="1"/>
  <c r="J20" i="120"/>
  <c r="N20" i="120" s="1"/>
  <c r="O20" i="120" s="1"/>
  <c r="M23" i="120"/>
  <c r="M24" i="120"/>
  <c r="M29" i="120"/>
  <c r="M25" i="120"/>
  <c r="M26" i="120"/>
  <c r="M27" i="120"/>
  <c r="M28" i="120"/>
  <c r="M30" i="120"/>
  <c r="M31" i="120"/>
  <c r="L32" i="120" l="1"/>
  <c r="N21" i="120"/>
  <c r="O21" i="120" s="1"/>
  <c r="P22" i="120" s="1"/>
  <c r="N24" i="120"/>
  <c r="O24" i="120" s="1"/>
  <c r="N25" i="120"/>
  <c r="O25" i="120" s="1"/>
  <c r="N28" i="120"/>
  <c r="O28" i="120" s="1"/>
  <c r="N51" i="120"/>
  <c r="N52" i="120"/>
  <c r="O31" i="120"/>
  <c r="O29" i="120"/>
  <c r="O27" i="120"/>
  <c r="O23" i="120"/>
  <c r="O30" i="120"/>
  <c r="K32" i="120"/>
  <c r="O26" i="120"/>
  <c r="J32" i="120"/>
  <c r="O19" i="120"/>
  <c r="N17" i="120"/>
  <c r="O17" i="120" s="1"/>
  <c r="M32" i="120"/>
  <c r="O18" i="120"/>
  <c r="N53" i="120" l="1"/>
  <c r="N37" i="120" s="1"/>
  <c r="N38" i="120" s="1"/>
  <c r="P29" i="120"/>
  <c r="P31" i="120"/>
  <c r="O32" i="120"/>
  <c r="O34" i="120" s="1"/>
  <c r="J36" i="120"/>
  <c r="J34" i="120"/>
  <c r="P32" i="120" l="1"/>
  <c r="Q32" i="120" s="1"/>
  <c r="G57" i="119" l="1"/>
  <c r="H59" i="119" s="1"/>
  <c r="K52" i="119"/>
  <c r="J52" i="119"/>
  <c r="K51" i="119"/>
  <c r="J51" i="119"/>
  <c r="I32" i="119"/>
  <c r="G31" i="119"/>
  <c r="K31" i="119" s="1"/>
  <c r="G30" i="119"/>
  <c r="J30" i="119" s="1"/>
  <c r="G29" i="119"/>
  <c r="J29" i="119" s="1"/>
  <c r="G28" i="119"/>
  <c r="J28" i="119" s="1"/>
  <c r="G27" i="119"/>
  <c r="J27" i="119" s="1"/>
  <c r="G26" i="119"/>
  <c r="J26" i="119" s="1"/>
  <c r="G25" i="119"/>
  <c r="J25" i="119" s="1"/>
  <c r="R24" i="119"/>
  <c r="G24" i="119"/>
  <c r="K24" i="119" s="1"/>
  <c r="G23" i="119"/>
  <c r="K23" i="119" s="1"/>
  <c r="G22" i="119"/>
  <c r="J22" i="119" s="1"/>
  <c r="G21" i="119"/>
  <c r="J21" i="119" s="1"/>
  <c r="G20" i="119"/>
  <c r="J20" i="119" s="1"/>
  <c r="G19" i="119"/>
  <c r="J19" i="119" s="1"/>
  <c r="G18" i="119"/>
  <c r="J18" i="119" s="1"/>
  <c r="G17" i="119"/>
  <c r="J17" i="119" s="1"/>
  <c r="D17" i="119"/>
  <c r="D18" i="119" s="1"/>
  <c r="D19" i="119" s="1"/>
  <c r="D20" i="119" s="1"/>
  <c r="D21" i="119" s="1"/>
  <c r="D22" i="119" s="1"/>
  <c r="D23" i="119" s="1"/>
  <c r="D24" i="119" s="1"/>
  <c r="D25" i="119" s="1"/>
  <c r="D26" i="119" s="1"/>
  <c r="D27" i="119" s="1"/>
  <c r="D28" i="119" s="1"/>
  <c r="D29" i="119" s="1"/>
  <c r="D30" i="119" s="1"/>
  <c r="D31" i="119" s="1"/>
  <c r="C17" i="119"/>
  <c r="C18" i="119" s="1"/>
  <c r="C19" i="119" s="1"/>
  <c r="C20" i="119" s="1"/>
  <c r="C21" i="119" s="1"/>
  <c r="C22" i="119" s="1"/>
  <c r="C23" i="119" s="1"/>
  <c r="C24" i="119" s="1"/>
  <c r="C25" i="119" s="1"/>
  <c r="C26" i="119" s="1"/>
  <c r="C27" i="119" s="1"/>
  <c r="C28" i="119" s="1"/>
  <c r="C29" i="119" s="1"/>
  <c r="C30" i="119" s="1"/>
  <c r="C31" i="119" s="1"/>
  <c r="Q14" i="119"/>
  <c r="T14" i="119" s="1"/>
  <c r="D14" i="119"/>
  <c r="N33" i="119" s="1"/>
  <c r="M8" i="119"/>
  <c r="M7" i="119"/>
  <c r="G57" i="118"/>
  <c r="K51" i="118"/>
  <c r="J51" i="118"/>
  <c r="I32" i="118"/>
  <c r="G29" i="118"/>
  <c r="G28" i="118"/>
  <c r="J26" i="118"/>
  <c r="G25" i="118"/>
  <c r="R24" i="118"/>
  <c r="G24" i="118"/>
  <c r="G23" i="118"/>
  <c r="G22" i="118"/>
  <c r="G21" i="118"/>
  <c r="G20" i="118"/>
  <c r="J19" i="118"/>
  <c r="G18" i="118"/>
  <c r="G17" i="118"/>
  <c r="D17" i="118"/>
  <c r="D18" i="118" s="1"/>
  <c r="D19" i="118" s="1"/>
  <c r="D20" i="118" s="1"/>
  <c r="D21" i="118" s="1"/>
  <c r="D22" i="118" s="1"/>
  <c r="D23" i="118" s="1"/>
  <c r="D24" i="118" s="1"/>
  <c r="D25" i="118" s="1"/>
  <c r="D26" i="118" s="1"/>
  <c r="D27" i="118" s="1"/>
  <c r="D28" i="118" s="1"/>
  <c r="D29" i="118" s="1"/>
  <c r="D30" i="118" s="1"/>
  <c r="D31" i="118" s="1"/>
  <c r="C17" i="118"/>
  <c r="C18" i="118" s="1"/>
  <c r="C19" i="118" s="1"/>
  <c r="C20" i="118" s="1"/>
  <c r="C21" i="118" s="1"/>
  <c r="C22" i="118" s="1"/>
  <c r="C23" i="118" s="1"/>
  <c r="C24" i="118" s="1"/>
  <c r="C25" i="118" s="1"/>
  <c r="C26" i="118" s="1"/>
  <c r="C27" i="118" s="1"/>
  <c r="C28" i="118" s="1"/>
  <c r="C29" i="118" s="1"/>
  <c r="C30" i="118" s="1"/>
  <c r="C31" i="118" s="1"/>
  <c r="Q14" i="118"/>
  <c r="T14" i="118" s="1"/>
  <c r="M8" i="118"/>
  <c r="M7" i="118"/>
  <c r="N51" i="118" l="1"/>
  <c r="H59" i="118"/>
  <c r="H21" i="65"/>
  <c r="F109" i="89" s="1"/>
  <c r="K29" i="119"/>
  <c r="K28" i="119"/>
  <c r="K20" i="118"/>
  <c r="K27" i="119"/>
  <c r="K22" i="118"/>
  <c r="J22" i="118"/>
  <c r="J17" i="118"/>
  <c r="J21" i="118"/>
  <c r="J29" i="118"/>
  <c r="J18" i="118"/>
  <c r="J28" i="118"/>
  <c r="J25" i="118"/>
  <c r="J20" i="118"/>
  <c r="K25" i="119"/>
  <c r="N33" i="118"/>
  <c r="D21" i="65" s="1"/>
  <c r="K28" i="118"/>
  <c r="K25" i="118"/>
  <c r="K26" i="119"/>
  <c r="M23" i="119"/>
  <c r="M24" i="119"/>
  <c r="K19" i="119"/>
  <c r="K20" i="119"/>
  <c r="K21" i="119"/>
  <c r="K22" i="119"/>
  <c r="J23" i="119"/>
  <c r="J24" i="119"/>
  <c r="M29" i="119"/>
  <c r="K30" i="119"/>
  <c r="J31" i="119"/>
  <c r="H48" i="119"/>
  <c r="I48" i="119" s="1"/>
  <c r="M30" i="119"/>
  <c r="L33" i="119"/>
  <c r="G14" i="119"/>
  <c r="N18" i="119" s="1"/>
  <c r="M18" i="119"/>
  <c r="M19" i="119"/>
  <c r="M20" i="119"/>
  <c r="M21" i="119"/>
  <c r="M22" i="119"/>
  <c r="L30" i="119"/>
  <c r="L32" i="119" s="1"/>
  <c r="M17" i="119"/>
  <c r="M31" i="119"/>
  <c r="M25" i="119"/>
  <c r="M26" i="119"/>
  <c r="M27" i="119"/>
  <c r="M28" i="119"/>
  <c r="K21" i="118"/>
  <c r="J23" i="118"/>
  <c r="J24" i="118"/>
  <c r="H48" i="118"/>
  <c r="G14" i="118"/>
  <c r="J52" i="68"/>
  <c r="G21" i="98"/>
  <c r="G28" i="98"/>
  <c r="I48" i="118" l="1"/>
  <c r="F106" i="89"/>
  <c r="N30" i="119"/>
  <c r="O30" i="119" s="1"/>
  <c r="L32" i="118"/>
  <c r="N18" i="118"/>
  <c r="O18" i="118" s="1"/>
  <c r="N31" i="118"/>
  <c r="O31" i="118" s="1"/>
  <c r="J28" i="98"/>
  <c r="K21" i="98"/>
  <c r="N21" i="118"/>
  <c r="O21" i="118" s="1"/>
  <c r="N19" i="118"/>
  <c r="O19" i="118" s="1"/>
  <c r="N22" i="119"/>
  <c r="O22" i="119" s="1"/>
  <c r="N20" i="119"/>
  <c r="O20" i="119" s="1"/>
  <c r="N30" i="118"/>
  <c r="O30" i="118" s="1"/>
  <c r="N22" i="118"/>
  <c r="O22" i="118" s="1"/>
  <c r="N20" i="118"/>
  <c r="O20" i="118" s="1"/>
  <c r="N21" i="119"/>
  <c r="O21" i="119" s="1"/>
  <c r="N52" i="119"/>
  <c r="N31" i="119"/>
  <c r="O31" i="119" s="1"/>
  <c r="N23" i="119"/>
  <c r="O23" i="119" s="1"/>
  <c r="K32" i="119"/>
  <c r="N29" i="119"/>
  <c r="O29" i="119" s="1"/>
  <c r="M32" i="119"/>
  <c r="N34" i="119" s="1"/>
  <c r="N35" i="119" s="1"/>
  <c r="N28" i="119"/>
  <c r="O28" i="119" s="1"/>
  <c r="N19" i="119"/>
  <c r="O19" i="119" s="1"/>
  <c r="N27" i="119"/>
  <c r="O27" i="119" s="1"/>
  <c r="N17" i="119"/>
  <c r="O17" i="119" s="1"/>
  <c r="N26" i="119"/>
  <c r="O26" i="119" s="1"/>
  <c r="N25" i="119"/>
  <c r="O25" i="119" s="1"/>
  <c r="O18" i="119"/>
  <c r="N24" i="119"/>
  <c r="O24" i="119" s="1"/>
  <c r="N51" i="119"/>
  <c r="J32" i="119"/>
  <c r="N17" i="118"/>
  <c r="O17" i="118" s="1"/>
  <c r="N29" i="118"/>
  <c r="O29" i="118" s="1"/>
  <c r="M32" i="118"/>
  <c r="N34" i="118" s="1"/>
  <c r="N27" i="118"/>
  <c r="O27" i="118" s="1"/>
  <c r="N24" i="118"/>
  <c r="O24" i="118" s="1"/>
  <c r="N28" i="118"/>
  <c r="O28" i="118" s="1"/>
  <c r="N25" i="118"/>
  <c r="O25" i="118" s="1"/>
  <c r="N23" i="118"/>
  <c r="O23" i="118" s="1"/>
  <c r="K32" i="118"/>
  <c r="N36" i="118" s="1"/>
  <c r="G21" i="65" s="1"/>
  <c r="F108" i="89" s="1"/>
  <c r="J32" i="118"/>
  <c r="N26" i="118"/>
  <c r="O26" i="118" s="1"/>
  <c r="K28" i="98"/>
  <c r="J21" i="98"/>
  <c r="H146" i="113"/>
  <c r="F146" i="113"/>
  <c r="D53" i="90"/>
  <c r="F140" i="89"/>
  <c r="D20" i="89"/>
  <c r="F164" i="89"/>
  <c r="F163" i="89"/>
  <c r="F132" i="89"/>
  <c r="F131" i="89"/>
  <c r="H146" i="89"/>
  <c r="D200" i="90"/>
  <c r="E21" i="65" l="1"/>
  <c r="P22" i="118"/>
  <c r="N53" i="119"/>
  <c r="N37" i="119" s="1"/>
  <c r="O32" i="119"/>
  <c r="P29" i="119"/>
  <c r="P31" i="119"/>
  <c r="P22" i="119"/>
  <c r="J36" i="119"/>
  <c r="J34" i="119"/>
  <c r="P29" i="118"/>
  <c r="P31" i="118"/>
  <c r="O32" i="118"/>
  <c r="J34" i="118"/>
  <c r="G147" i="113"/>
  <c r="F113" i="89" l="1"/>
  <c r="F116" i="89" s="1"/>
  <c r="G117" i="89" s="1"/>
  <c r="F21" i="65"/>
  <c r="I21" i="65" s="1"/>
  <c r="U21" i="65" s="1"/>
  <c r="Y21" i="65" s="1"/>
  <c r="AB21" i="65" s="1"/>
  <c r="AD21" i="65" s="1"/>
  <c r="N35" i="118"/>
  <c r="N38" i="118" s="1"/>
  <c r="P32" i="118"/>
  <c r="Q32" i="118" s="1"/>
  <c r="N38" i="119"/>
  <c r="P32" i="119"/>
  <c r="Q32" i="119" s="1"/>
  <c r="O34" i="119"/>
  <c r="O34" i="118"/>
  <c r="M18" i="67" l="1"/>
  <c r="M25" i="67"/>
  <c r="M28" i="67"/>
  <c r="G23" i="98"/>
  <c r="L23" i="98" s="1"/>
  <c r="AB54" i="65" l="1"/>
  <c r="AD54" i="65" s="1"/>
  <c r="I32" i="117"/>
  <c r="M20" i="117" l="1"/>
  <c r="M29" i="96" l="1"/>
  <c r="F47" i="90" l="1"/>
  <c r="G59" i="117" l="1"/>
  <c r="K51" i="117"/>
  <c r="G28" i="117"/>
  <c r="K26" i="117"/>
  <c r="G25" i="117"/>
  <c r="R24" i="117"/>
  <c r="G24" i="117"/>
  <c r="G23" i="117"/>
  <c r="L23" i="117" s="1"/>
  <c r="G22" i="117"/>
  <c r="G21" i="117"/>
  <c r="G20" i="117"/>
  <c r="K19" i="117"/>
  <c r="G18" i="117"/>
  <c r="G17" i="117"/>
  <c r="D17" i="117"/>
  <c r="D18" i="117" s="1"/>
  <c r="D19" i="117" s="1"/>
  <c r="D20" i="117" s="1"/>
  <c r="D21" i="117" s="1"/>
  <c r="D22" i="117" s="1"/>
  <c r="D23" i="117" s="1"/>
  <c r="D24" i="117" s="1"/>
  <c r="D25" i="117" s="1"/>
  <c r="D26" i="117" s="1"/>
  <c r="D27" i="117" s="1"/>
  <c r="D28" i="117" s="1"/>
  <c r="D29" i="117" s="1"/>
  <c r="D30" i="117" s="1"/>
  <c r="D31" i="117" s="1"/>
  <c r="C17" i="117"/>
  <c r="C18" i="117" s="1"/>
  <c r="C19" i="117" s="1"/>
  <c r="C20" i="117" s="1"/>
  <c r="C21" i="117" s="1"/>
  <c r="C22" i="117" s="1"/>
  <c r="C23" i="117" s="1"/>
  <c r="C24" i="117" s="1"/>
  <c r="C25" i="117" s="1"/>
  <c r="C26" i="117" s="1"/>
  <c r="C27" i="117" s="1"/>
  <c r="C28" i="117" s="1"/>
  <c r="C29" i="117" s="1"/>
  <c r="C30" i="117" s="1"/>
  <c r="C31" i="117" s="1"/>
  <c r="Q14" i="117"/>
  <c r="T14" i="117" s="1"/>
  <c r="M8" i="117"/>
  <c r="M7" i="117"/>
  <c r="G21" i="116"/>
  <c r="K21" i="116" s="1"/>
  <c r="F60" i="116"/>
  <c r="G62" i="116" s="1"/>
  <c r="K54" i="116"/>
  <c r="J54" i="116"/>
  <c r="K53" i="116"/>
  <c r="J53" i="116"/>
  <c r="K52" i="116"/>
  <c r="J52" i="116"/>
  <c r="I33" i="116"/>
  <c r="M32" i="116"/>
  <c r="G32" i="116"/>
  <c r="K32" i="116" s="1"/>
  <c r="G31" i="116"/>
  <c r="J31" i="116" s="1"/>
  <c r="G30" i="116"/>
  <c r="J30" i="116" s="1"/>
  <c r="G29" i="116"/>
  <c r="K29" i="116" s="1"/>
  <c r="G28" i="116"/>
  <c r="K28" i="116" s="1"/>
  <c r="G27" i="116"/>
  <c r="G26" i="116"/>
  <c r="K26" i="116" s="1"/>
  <c r="G25" i="116"/>
  <c r="K25" i="116" s="1"/>
  <c r="R24" i="116"/>
  <c r="G24" i="116"/>
  <c r="J24" i="116" s="1"/>
  <c r="G23" i="116"/>
  <c r="K23" i="116" s="1"/>
  <c r="G22" i="116"/>
  <c r="K22" i="116" s="1"/>
  <c r="G20" i="116"/>
  <c r="J20" i="116" s="1"/>
  <c r="G19" i="116"/>
  <c r="J19" i="116" s="1"/>
  <c r="G18" i="116"/>
  <c r="J18" i="116" s="1"/>
  <c r="G17" i="116"/>
  <c r="J17" i="116" s="1"/>
  <c r="D17" i="116"/>
  <c r="D18" i="116" s="1"/>
  <c r="D19" i="116" s="1"/>
  <c r="D20" i="116" s="1"/>
  <c r="D21" i="116" s="1"/>
  <c r="D22" i="116" s="1"/>
  <c r="D23" i="116" s="1"/>
  <c r="D24" i="116" s="1"/>
  <c r="D25" i="116" s="1"/>
  <c r="D26" i="116" s="1"/>
  <c r="D27" i="116" s="1"/>
  <c r="D28" i="116" s="1"/>
  <c r="D29" i="116" s="1"/>
  <c r="D30" i="116" s="1"/>
  <c r="D31" i="116" s="1"/>
  <c r="D32" i="116" s="1"/>
  <c r="C17" i="116"/>
  <c r="C18" i="116" s="1"/>
  <c r="C19" i="116" s="1"/>
  <c r="C20" i="116" s="1"/>
  <c r="C21" i="116" s="1"/>
  <c r="C22" i="116" s="1"/>
  <c r="C23" i="116" s="1"/>
  <c r="C24" i="116" s="1"/>
  <c r="C25" i="116" s="1"/>
  <c r="C26" i="116" s="1"/>
  <c r="C27" i="116" s="1"/>
  <c r="C28" i="116" s="1"/>
  <c r="C29" i="116" s="1"/>
  <c r="C30" i="116" s="1"/>
  <c r="C31" i="116" s="1"/>
  <c r="C32" i="116" s="1"/>
  <c r="Q14" i="116"/>
  <c r="T14" i="116" s="1"/>
  <c r="D14" i="116"/>
  <c r="M29" i="116" s="1"/>
  <c r="M8" i="116"/>
  <c r="M7" i="116"/>
  <c r="H61" i="117" l="1"/>
  <c r="K23" i="117"/>
  <c r="K19" i="116"/>
  <c r="K20" i="116"/>
  <c r="J22" i="117"/>
  <c r="J18" i="117"/>
  <c r="K28" i="117"/>
  <c r="J23" i="116"/>
  <c r="J17" i="117"/>
  <c r="J25" i="117"/>
  <c r="J26" i="117"/>
  <c r="K17" i="116"/>
  <c r="J25" i="116"/>
  <c r="J26" i="116"/>
  <c r="L34" i="116"/>
  <c r="K25" i="117"/>
  <c r="M17" i="116"/>
  <c r="G14" i="117"/>
  <c r="J19" i="117"/>
  <c r="K22" i="117"/>
  <c r="J28" i="117"/>
  <c r="J23" i="117"/>
  <c r="J20" i="117"/>
  <c r="K20" i="117"/>
  <c r="J21" i="117"/>
  <c r="J24" i="117"/>
  <c r="M18" i="117"/>
  <c r="K21" i="117"/>
  <c r="K24" i="117"/>
  <c r="M27" i="117"/>
  <c r="N33" i="117"/>
  <c r="D26" i="65" s="1"/>
  <c r="H48" i="117"/>
  <c r="N51" i="117" s="1"/>
  <c r="N53" i="117" s="1"/>
  <c r="J21" i="116"/>
  <c r="J22" i="116"/>
  <c r="J27" i="116"/>
  <c r="K31" i="116"/>
  <c r="L33" i="116"/>
  <c r="K30" i="116"/>
  <c r="K18" i="116"/>
  <c r="G14" i="116"/>
  <c r="M19" i="116"/>
  <c r="M18" i="116"/>
  <c r="M20" i="116"/>
  <c r="M21" i="116"/>
  <c r="M22" i="116"/>
  <c r="M24" i="116"/>
  <c r="K27" i="116"/>
  <c r="J28" i="116"/>
  <c r="J29" i="116"/>
  <c r="M30" i="116"/>
  <c r="J32" i="116"/>
  <c r="M23" i="116"/>
  <c r="M25" i="116"/>
  <c r="M26" i="116"/>
  <c r="M31" i="116"/>
  <c r="N34" i="116"/>
  <c r="H49" i="116"/>
  <c r="I49" i="116" s="1"/>
  <c r="M27" i="116"/>
  <c r="M28" i="116"/>
  <c r="D14" i="115"/>
  <c r="F61" i="115"/>
  <c r="K51" i="115"/>
  <c r="J51" i="115"/>
  <c r="I32" i="115"/>
  <c r="G29" i="115"/>
  <c r="G28" i="115"/>
  <c r="J26" i="115"/>
  <c r="G25" i="115"/>
  <c r="R24" i="115"/>
  <c r="G24" i="115"/>
  <c r="L24" i="115" s="1"/>
  <c r="G23" i="115"/>
  <c r="G22" i="115"/>
  <c r="G21" i="115"/>
  <c r="G20" i="115"/>
  <c r="L20" i="115" s="1"/>
  <c r="K19" i="115"/>
  <c r="G18" i="115"/>
  <c r="G17" i="115"/>
  <c r="D17" i="115"/>
  <c r="D18" i="115" s="1"/>
  <c r="D19" i="115" s="1"/>
  <c r="D20" i="115" s="1"/>
  <c r="D21" i="115" s="1"/>
  <c r="D22" i="115" s="1"/>
  <c r="D23" i="115" s="1"/>
  <c r="D24" i="115" s="1"/>
  <c r="D25" i="115" s="1"/>
  <c r="D26" i="115" s="1"/>
  <c r="D27" i="115" s="1"/>
  <c r="D28" i="115" s="1"/>
  <c r="D29" i="115" s="1"/>
  <c r="D30" i="115" s="1"/>
  <c r="D31" i="115" s="1"/>
  <c r="C17" i="115"/>
  <c r="C18" i="115" s="1"/>
  <c r="C19" i="115" s="1"/>
  <c r="C20" i="115" s="1"/>
  <c r="C21" i="115" s="1"/>
  <c r="C22" i="115" s="1"/>
  <c r="C23" i="115" s="1"/>
  <c r="C24" i="115" s="1"/>
  <c r="C25" i="115" s="1"/>
  <c r="C26" i="115" s="1"/>
  <c r="C27" i="115" s="1"/>
  <c r="C28" i="115" s="1"/>
  <c r="C29" i="115" s="1"/>
  <c r="C30" i="115" s="1"/>
  <c r="C31" i="115" s="1"/>
  <c r="Q14" i="115"/>
  <c r="T14" i="115" s="1"/>
  <c r="M8" i="115"/>
  <c r="M7" i="115"/>
  <c r="N28" i="116" l="1"/>
  <c r="G63" i="115"/>
  <c r="N56" i="117"/>
  <c r="F136" i="89"/>
  <c r="L33" i="115"/>
  <c r="M27" i="115"/>
  <c r="M29" i="115"/>
  <c r="M31" i="115"/>
  <c r="G14" i="115"/>
  <c r="N31" i="115" s="1"/>
  <c r="M20" i="115"/>
  <c r="M19" i="115"/>
  <c r="K29" i="115"/>
  <c r="N27" i="117"/>
  <c r="O27" i="117" s="1"/>
  <c r="K22" i="115"/>
  <c r="K28" i="115"/>
  <c r="M21" i="115"/>
  <c r="M30" i="115"/>
  <c r="M22" i="115"/>
  <c r="N28" i="117"/>
  <c r="O28" i="117" s="1"/>
  <c r="N17" i="117"/>
  <c r="O17" i="117" s="1"/>
  <c r="N30" i="117"/>
  <c r="O30" i="117" s="1"/>
  <c r="J23" i="115"/>
  <c r="J29" i="115"/>
  <c r="N18" i="117"/>
  <c r="O18" i="117" s="1"/>
  <c r="L32" i="117"/>
  <c r="L32" i="115"/>
  <c r="K21" i="115"/>
  <c r="N22" i="117"/>
  <c r="O22" i="117" s="1"/>
  <c r="H26" i="65"/>
  <c r="F139" i="89" s="1"/>
  <c r="K25" i="115"/>
  <c r="K20" i="115"/>
  <c r="N26" i="117"/>
  <c r="O26" i="117" s="1"/>
  <c r="N25" i="117"/>
  <c r="O25" i="117" s="1"/>
  <c r="AB49" i="65"/>
  <c r="AD49" i="65" s="1"/>
  <c r="M18" i="115"/>
  <c r="M17" i="115"/>
  <c r="N18" i="116"/>
  <c r="O18" i="116" s="1"/>
  <c r="N31" i="117"/>
  <c r="O31" i="117" s="1"/>
  <c r="N19" i="117"/>
  <c r="O19" i="117" s="1"/>
  <c r="M32" i="117"/>
  <c r="N34" i="117" s="1"/>
  <c r="J32" i="117"/>
  <c r="K32" i="117"/>
  <c r="M24" i="115"/>
  <c r="N32" i="116"/>
  <c r="N29" i="116"/>
  <c r="O29" i="116" s="1"/>
  <c r="N29" i="117"/>
  <c r="O29" i="117" s="1"/>
  <c r="N23" i="117"/>
  <c r="O23" i="117" s="1"/>
  <c r="N21" i="117"/>
  <c r="O21" i="117" s="1"/>
  <c r="N24" i="117"/>
  <c r="O24" i="117" s="1"/>
  <c r="I48" i="117"/>
  <c r="N20" i="117"/>
  <c r="O20" i="117" s="1"/>
  <c r="N27" i="116"/>
  <c r="O27" i="116" s="1"/>
  <c r="N25" i="116"/>
  <c r="O25" i="116" s="1"/>
  <c r="J33" i="116"/>
  <c r="J35" i="116" s="1"/>
  <c r="N19" i="116"/>
  <c r="O19" i="116" s="1"/>
  <c r="N24" i="116"/>
  <c r="O24" i="116" s="1"/>
  <c r="N22" i="116"/>
  <c r="O22" i="116" s="1"/>
  <c r="N31" i="116"/>
  <c r="O31" i="116" s="1"/>
  <c r="N21" i="116"/>
  <c r="O21" i="116" s="1"/>
  <c r="K33" i="116"/>
  <c r="N37" i="116" s="1"/>
  <c r="N30" i="116"/>
  <c r="O30" i="116" s="1"/>
  <c r="N20" i="116"/>
  <c r="O20" i="116" s="1"/>
  <c r="O28" i="116"/>
  <c r="M33" i="116"/>
  <c r="N35" i="116" s="1"/>
  <c r="N36" i="116" s="1"/>
  <c r="N17" i="116"/>
  <c r="O17" i="116" s="1"/>
  <c r="N23" i="116"/>
  <c r="O23" i="116" s="1"/>
  <c r="N26" i="116"/>
  <c r="O26" i="116" s="1"/>
  <c r="J28" i="115"/>
  <c r="K24" i="115"/>
  <c r="J24" i="115"/>
  <c r="K23" i="115"/>
  <c r="J17" i="115"/>
  <c r="K17" i="115"/>
  <c r="H48" i="115"/>
  <c r="J18" i="115"/>
  <c r="M25" i="115"/>
  <c r="M26" i="115"/>
  <c r="K18" i="115"/>
  <c r="J19" i="115"/>
  <c r="J20" i="115"/>
  <c r="J21" i="115"/>
  <c r="J22" i="115"/>
  <c r="M23" i="115"/>
  <c r="J25" i="115"/>
  <c r="M28" i="115"/>
  <c r="N22" i="115" l="1"/>
  <c r="O22" i="115" s="1"/>
  <c r="N30" i="115"/>
  <c r="N25" i="115"/>
  <c r="O25" i="115" s="1"/>
  <c r="N21" i="115"/>
  <c r="O21" i="115" s="1"/>
  <c r="P22" i="115" s="1"/>
  <c r="N51" i="115"/>
  <c r="N52" i="115"/>
  <c r="N27" i="115"/>
  <c r="O27" i="115" s="1"/>
  <c r="N26" i="115"/>
  <c r="O26" i="115" s="1"/>
  <c r="N19" i="115"/>
  <c r="O19" i="115" s="1"/>
  <c r="N28" i="115"/>
  <c r="O28" i="115" s="1"/>
  <c r="N35" i="117"/>
  <c r="E26" i="65"/>
  <c r="N23" i="115"/>
  <c r="O23" i="115" s="1"/>
  <c r="N36" i="117"/>
  <c r="G26" i="65" s="1"/>
  <c r="F138" i="89" s="1"/>
  <c r="N29" i="115"/>
  <c r="O29" i="115" s="1"/>
  <c r="N20" i="115"/>
  <c r="O20" i="115" s="1"/>
  <c r="G14" i="102"/>
  <c r="J34" i="117"/>
  <c r="N17" i="115"/>
  <c r="O17" i="115" s="1"/>
  <c r="O31" i="115"/>
  <c r="N55" i="116"/>
  <c r="N38" i="116" s="1"/>
  <c r="N39" i="116" s="1"/>
  <c r="N33" i="102"/>
  <c r="D22" i="65" s="1"/>
  <c r="N18" i="115"/>
  <c r="O18" i="115" s="1"/>
  <c r="N24" i="115"/>
  <c r="O24" i="115" s="1"/>
  <c r="M32" i="115"/>
  <c r="I48" i="115"/>
  <c r="P22" i="117"/>
  <c r="O32" i="117"/>
  <c r="P31" i="117"/>
  <c r="P29" i="117"/>
  <c r="P22" i="116"/>
  <c r="O33" i="116"/>
  <c r="P29" i="116"/>
  <c r="P31" i="116"/>
  <c r="K32" i="115"/>
  <c r="N36" i="115" s="1"/>
  <c r="O30" i="115"/>
  <c r="J32" i="115"/>
  <c r="J34" i="115" s="1"/>
  <c r="J52" i="112"/>
  <c r="K52" i="112"/>
  <c r="K32" i="92"/>
  <c r="I32" i="92"/>
  <c r="I31" i="96"/>
  <c r="I32" i="98"/>
  <c r="H31" i="45"/>
  <c r="I32" i="67"/>
  <c r="I32" i="95"/>
  <c r="I32" i="68"/>
  <c r="G32" i="108"/>
  <c r="K32" i="108" s="1"/>
  <c r="M32" i="108"/>
  <c r="N53" i="115" l="1"/>
  <c r="N34" i="115"/>
  <c r="E45" i="65" s="1"/>
  <c r="F44" i="90"/>
  <c r="F143" i="89"/>
  <c r="F146" i="89" s="1"/>
  <c r="G147" i="89" s="1"/>
  <c r="F26" i="65"/>
  <c r="I26" i="65" s="1"/>
  <c r="U26" i="65" s="1"/>
  <c r="Y26" i="65" s="1"/>
  <c r="AB26" i="65" s="1"/>
  <c r="AD26" i="65" s="1"/>
  <c r="N38" i="117"/>
  <c r="P31" i="115"/>
  <c r="P29" i="115"/>
  <c r="P32" i="117"/>
  <c r="Q32" i="117" s="1"/>
  <c r="O34" i="117"/>
  <c r="P33" i="116"/>
  <c r="Q33" i="116" s="1"/>
  <c r="O35" i="116"/>
  <c r="O32" i="115"/>
  <c r="O34" i="115" s="1"/>
  <c r="J32" i="108"/>
  <c r="L32" i="108"/>
  <c r="N33" i="115" l="1"/>
  <c r="H45" i="65"/>
  <c r="B77" i="90" s="1"/>
  <c r="B81" i="90"/>
  <c r="P32" i="115"/>
  <c r="Q32" i="115" s="1"/>
  <c r="N35" i="115" l="1"/>
  <c r="N38" i="115" s="1"/>
  <c r="D45" i="65"/>
  <c r="O64" i="65"/>
  <c r="B74" i="90" l="1"/>
  <c r="F45" i="65"/>
  <c r="I45" i="65" s="1"/>
  <c r="U45" i="65" s="1"/>
  <c r="Y45" i="65" s="1"/>
  <c r="D146" i="113"/>
  <c r="B146" i="113"/>
  <c r="B132" i="113"/>
  <c r="B226" i="113" s="1"/>
  <c r="B131" i="113"/>
  <c r="B225" i="113" s="1"/>
  <c r="H84" i="113"/>
  <c r="F84" i="113"/>
  <c r="D116" i="113"/>
  <c r="B116" i="113"/>
  <c r="F70" i="113"/>
  <c r="F194" i="113" s="1"/>
  <c r="B102" i="113"/>
  <c r="F69" i="113"/>
  <c r="F193" i="113" s="1"/>
  <c r="B101" i="113"/>
  <c r="D84" i="113"/>
  <c r="B84" i="113"/>
  <c r="B70" i="113"/>
  <c r="B69" i="113"/>
  <c r="H54" i="113"/>
  <c r="F54" i="113"/>
  <c r="D54" i="113"/>
  <c r="B54" i="113"/>
  <c r="F40" i="113"/>
  <c r="B40" i="113"/>
  <c r="F39" i="113"/>
  <c r="B39" i="113"/>
  <c r="H22" i="113"/>
  <c r="F22" i="113"/>
  <c r="D22" i="113"/>
  <c r="F8" i="113"/>
  <c r="F7" i="113"/>
  <c r="F132" i="113" l="1"/>
  <c r="F131" i="113"/>
  <c r="C147" i="113"/>
  <c r="C117" i="113"/>
  <c r="G85" i="113"/>
  <c r="C85" i="113"/>
  <c r="G55" i="113"/>
  <c r="C55" i="113"/>
  <c r="G23" i="113"/>
  <c r="C23" i="113"/>
  <c r="N64" i="65"/>
  <c r="P64" i="65"/>
  <c r="Q64" i="65"/>
  <c r="R64" i="65"/>
  <c r="S64" i="65"/>
  <c r="J64" i="65"/>
  <c r="K64" i="65"/>
  <c r="L64" i="65"/>
  <c r="M64" i="65"/>
  <c r="AB58" i="65" l="1"/>
  <c r="AD58" i="65" s="1"/>
  <c r="V67" i="65"/>
  <c r="Y65" i="65"/>
  <c r="AB66" i="65"/>
  <c r="G17" i="108" l="1"/>
  <c r="L17" i="108" s="1"/>
  <c r="G28" i="94"/>
  <c r="G27" i="94"/>
  <c r="G24" i="94"/>
  <c r="G23" i="94"/>
  <c r="G21" i="94"/>
  <c r="G20" i="94"/>
  <c r="G16" i="94"/>
  <c r="G24" i="88"/>
  <c r="G22" i="88"/>
  <c r="G21" i="88"/>
  <c r="G18" i="88"/>
  <c r="G17" i="88"/>
  <c r="K24" i="94" l="1"/>
  <c r="K17" i="88"/>
  <c r="K24" i="88"/>
  <c r="K27" i="94"/>
  <c r="K28" i="94"/>
  <c r="K20" i="94"/>
  <c r="K21" i="88"/>
  <c r="K22" i="88"/>
  <c r="J20" i="94"/>
  <c r="J18" i="88"/>
  <c r="J21" i="88"/>
  <c r="J28" i="88"/>
  <c r="K28" i="88"/>
  <c r="G23" i="110"/>
  <c r="G22" i="110"/>
  <c r="D14" i="112"/>
  <c r="K22" i="110" l="1"/>
  <c r="M18" i="112"/>
  <c r="L33" i="112"/>
  <c r="N34" i="112" s="1"/>
  <c r="M17" i="112"/>
  <c r="M28" i="112"/>
  <c r="M30" i="112"/>
  <c r="M31" i="112"/>
  <c r="M20" i="112"/>
  <c r="M25" i="112"/>
  <c r="M27" i="112"/>
  <c r="M23" i="112"/>
  <c r="M26" i="112"/>
  <c r="M24" i="112"/>
  <c r="M21" i="112"/>
  <c r="K23" i="110"/>
  <c r="J23" i="110"/>
  <c r="J29" i="110"/>
  <c r="J22" i="110"/>
  <c r="G57" i="112"/>
  <c r="H59" i="112" s="1"/>
  <c r="K51" i="112"/>
  <c r="J51" i="112"/>
  <c r="I32" i="112"/>
  <c r="G30" i="112"/>
  <c r="L30" i="112" s="1"/>
  <c r="G29" i="112"/>
  <c r="L29" i="112" s="1"/>
  <c r="G28" i="112"/>
  <c r="L28" i="112" s="1"/>
  <c r="G25" i="112"/>
  <c r="R24" i="112"/>
  <c r="G24" i="112"/>
  <c r="L24" i="112" s="1"/>
  <c r="G23" i="112"/>
  <c r="M22" i="112"/>
  <c r="G22" i="112"/>
  <c r="L22" i="112" s="1"/>
  <c r="G21" i="112"/>
  <c r="L21" i="112" s="1"/>
  <c r="G20" i="112"/>
  <c r="M19" i="112"/>
  <c r="G18" i="112"/>
  <c r="G17" i="112"/>
  <c r="D17" i="112"/>
  <c r="D18" i="112" s="1"/>
  <c r="D19" i="112" s="1"/>
  <c r="D20" i="112" s="1"/>
  <c r="D21" i="112" s="1"/>
  <c r="D22" i="112" s="1"/>
  <c r="D23" i="112" s="1"/>
  <c r="D24" i="112" s="1"/>
  <c r="D25" i="112" s="1"/>
  <c r="D26" i="112" s="1"/>
  <c r="D27" i="112" s="1"/>
  <c r="D28" i="112" s="1"/>
  <c r="D29" i="112" s="1"/>
  <c r="D30" i="112" s="1"/>
  <c r="D31" i="112" s="1"/>
  <c r="C17" i="112"/>
  <c r="C18" i="112" s="1"/>
  <c r="C19" i="112" s="1"/>
  <c r="C20" i="112" s="1"/>
  <c r="C21" i="112" s="1"/>
  <c r="C22" i="112" s="1"/>
  <c r="C23" i="112" s="1"/>
  <c r="C24" i="112" s="1"/>
  <c r="C25" i="112" s="1"/>
  <c r="C26" i="112" s="1"/>
  <c r="C27" i="112" s="1"/>
  <c r="C28" i="112" s="1"/>
  <c r="C29" i="112" s="1"/>
  <c r="C30" i="112" s="1"/>
  <c r="C31" i="112" s="1"/>
  <c r="Q14" i="112"/>
  <c r="T14" i="112" s="1"/>
  <c r="H48" i="112"/>
  <c r="N52" i="112" s="1"/>
  <c r="M8" i="112"/>
  <c r="M7" i="112"/>
  <c r="B12" i="89"/>
  <c r="N51" i="112" l="1"/>
  <c r="K23" i="112"/>
  <c r="L23" i="112"/>
  <c r="J25" i="112"/>
  <c r="L25" i="112"/>
  <c r="K17" i="112"/>
  <c r="L17" i="112"/>
  <c r="J18" i="112"/>
  <c r="K18" i="112"/>
  <c r="J20" i="112"/>
  <c r="K21" i="112"/>
  <c r="J21" i="112"/>
  <c r="J29" i="112"/>
  <c r="K29" i="112"/>
  <c r="I48" i="112"/>
  <c r="K20" i="112"/>
  <c r="J22" i="112"/>
  <c r="J28" i="112"/>
  <c r="K28" i="112"/>
  <c r="K22" i="112"/>
  <c r="J23" i="112"/>
  <c r="J26" i="112"/>
  <c r="K25" i="112"/>
  <c r="J17" i="112"/>
  <c r="J30" i="112"/>
  <c r="J24" i="112"/>
  <c r="K24" i="112"/>
  <c r="M29" i="112"/>
  <c r="K30" i="112"/>
  <c r="G14" i="112"/>
  <c r="N33" i="112"/>
  <c r="H170" i="89"/>
  <c r="H168" i="89"/>
  <c r="F172" i="89"/>
  <c r="N53" i="112" l="1"/>
  <c r="N37" i="112" s="1"/>
  <c r="L32" i="112"/>
  <c r="N31" i="112"/>
  <c r="O31" i="112" s="1"/>
  <c r="N22" i="112"/>
  <c r="O22" i="112" s="1"/>
  <c r="H178" i="89"/>
  <c r="N19" i="112"/>
  <c r="O19" i="112" s="1"/>
  <c r="N27" i="112"/>
  <c r="O27" i="112" s="1"/>
  <c r="N26" i="112"/>
  <c r="O26" i="112" s="1"/>
  <c r="N20" i="112"/>
  <c r="O20" i="112" s="1"/>
  <c r="N23" i="112"/>
  <c r="O23" i="112" s="1"/>
  <c r="K32" i="112"/>
  <c r="N36" i="112" s="1"/>
  <c r="N18" i="112"/>
  <c r="O18" i="112" s="1"/>
  <c r="N25" i="112"/>
  <c r="O25" i="112" s="1"/>
  <c r="N24" i="112"/>
  <c r="O24" i="112" s="1"/>
  <c r="J32" i="112"/>
  <c r="N17" i="112"/>
  <c r="O17" i="112" s="1"/>
  <c r="M32" i="112"/>
  <c r="N35" i="112" s="1"/>
  <c r="N30" i="112"/>
  <c r="O30" i="112" s="1"/>
  <c r="N28" i="112"/>
  <c r="O28" i="112" s="1"/>
  <c r="N21" i="112"/>
  <c r="O21" i="112" s="1"/>
  <c r="N29" i="112"/>
  <c r="O29" i="112" s="1"/>
  <c r="J34" i="112" l="1"/>
  <c r="N38" i="112"/>
  <c r="P22" i="112"/>
  <c r="O32" i="112"/>
  <c r="P31" i="112"/>
  <c r="P29" i="112"/>
  <c r="B132" i="90"/>
  <c r="B131" i="90"/>
  <c r="B108" i="90"/>
  <c r="B102" i="90"/>
  <c r="B101" i="90"/>
  <c r="P32" i="112" l="1"/>
  <c r="Q32" i="112" s="1"/>
  <c r="O34" i="112"/>
  <c r="G17" i="111" l="1"/>
  <c r="G18" i="111"/>
  <c r="J19" i="111"/>
  <c r="G24" i="111"/>
  <c r="K17" i="111" l="1"/>
  <c r="K18" i="111"/>
  <c r="J18" i="111"/>
  <c r="J17" i="111"/>
  <c r="K19" i="111"/>
  <c r="Q14" i="98" l="1"/>
  <c r="T14" i="98" s="1"/>
  <c r="K16" i="94"/>
  <c r="J16" i="94"/>
  <c r="F62" i="111" l="1"/>
  <c r="G64" i="111" s="1"/>
  <c r="K51" i="111"/>
  <c r="I32" i="111"/>
  <c r="G28" i="111"/>
  <c r="J26" i="111"/>
  <c r="G25" i="111"/>
  <c r="R24" i="111"/>
  <c r="K24" i="111"/>
  <c r="J24" i="111"/>
  <c r="G23" i="111"/>
  <c r="L23" i="111" s="1"/>
  <c r="G22" i="111"/>
  <c r="G21" i="111"/>
  <c r="G20" i="111"/>
  <c r="D17" i="111"/>
  <c r="D18" i="111" s="1"/>
  <c r="D19" i="111" s="1"/>
  <c r="D20" i="111" s="1"/>
  <c r="D21" i="111" s="1"/>
  <c r="D22" i="111" s="1"/>
  <c r="D23" i="111" s="1"/>
  <c r="D24" i="111" s="1"/>
  <c r="D25" i="111" s="1"/>
  <c r="D26" i="111" s="1"/>
  <c r="D27" i="111" s="1"/>
  <c r="D28" i="111" s="1"/>
  <c r="D29" i="111" s="1"/>
  <c r="D30" i="111" s="1"/>
  <c r="D31" i="111" s="1"/>
  <c r="C17" i="111"/>
  <c r="Q14" i="111"/>
  <c r="T14" i="111" s="1"/>
  <c r="M8" i="111"/>
  <c r="M7" i="111"/>
  <c r="J23" i="111" l="1"/>
  <c r="J22" i="111"/>
  <c r="J21" i="111"/>
  <c r="J25" i="111"/>
  <c r="K28" i="111"/>
  <c r="K20" i="111"/>
  <c r="M22" i="111"/>
  <c r="K23" i="111"/>
  <c r="K26" i="111"/>
  <c r="M18" i="111"/>
  <c r="C18" i="111"/>
  <c r="M21" i="111"/>
  <c r="G14" i="111"/>
  <c r="K21" i="111"/>
  <c r="K22" i="111"/>
  <c r="M24" i="111"/>
  <c r="K25" i="111"/>
  <c r="M27" i="111"/>
  <c r="M28" i="111"/>
  <c r="N33" i="111"/>
  <c r="D34" i="65" s="1"/>
  <c r="H48" i="111"/>
  <c r="N51" i="111" s="1"/>
  <c r="J20" i="111"/>
  <c r="M25" i="111"/>
  <c r="J28" i="111"/>
  <c r="M20" i="111"/>
  <c r="M23" i="111"/>
  <c r="M26" i="111"/>
  <c r="F58" i="110"/>
  <c r="K51" i="110"/>
  <c r="J51" i="110"/>
  <c r="I32" i="110"/>
  <c r="G28" i="110"/>
  <c r="L28" i="110" s="1"/>
  <c r="G26" i="110"/>
  <c r="G25" i="110"/>
  <c r="R24" i="110"/>
  <c r="G24" i="110"/>
  <c r="L24" i="110" s="1"/>
  <c r="G21" i="110"/>
  <c r="G20" i="110"/>
  <c r="L20" i="110" s="1"/>
  <c r="G19" i="110"/>
  <c r="G18" i="110"/>
  <c r="G17" i="110"/>
  <c r="D17" i="110"/>
  <c r="D18" i="110" s="1"/>
  <c r="D19" i="110" s="1"/>
  <c r="D20" i="110" s="1"/>
  <c r="D21" i="110" s="1"/>
  <c r="C17" i="110"/>
  <c r="C18" i="110" s="1"/>
  <c r="C19" i="110" s="1"/>
  <c r="C20" i="110" s="1"/>
  <c r="C21" i="110" s="1"/>
  <c r="C22" i="110" s="1"/>
  <c r="Q14" i="110"/>
  <c r="T14" i="110" s="1"/>
  <c r="M8" i="110"/>
  <c r="M7" i="110"/>
  <c r="B69" i="90"/>
  <c r="B70" i="90"/>
  <c r="N17" i="111" l="1"/>
  <c r="G60" i="110"/>
  <c r="F106" i="90"/>
  <c r="M21" i="110"/>
  <c r="M28" i="110"/>
  <c r="K17" i="110"/>
  <c r="K21" i="110"/>
  <c r="K18" i="110"/>
  <c r="J28" i="110"/>
  <c r="J25" i="110"/>
  <c r="J24" i="110"/>
  <c r="K19" i="110"/>
  <c r="J20" i="110"/>
  <c r="H48" i="110"/>
  <c r="N51" i="110" s="1"/>
  <c r="G14" i="110"/>
  <c r="N22" i="110" s="1"/>
  <c r="I48" i="111"/>
  <c r="K32" i="111"/>
  <c r="N36" i="111" s="1"/>
  <c r="G34" i="65" s="1"/>
  <c r="F108" i="90" s="1"/>
  <c r="L32" i="111"/>
  <c r="D22" i="110"/>
  <c r="D23" i="110" s="1"/>
  <c r="D24" i="110" s="1"/>
  <c r="D25" i="110" s="1"/>
  <c r="D26" i="110" s="1"/>
  <c r="D27" i="110" s="1"/>
  <c r="D28" i="110" s="1"/>
  <c r="D29" i="110" s="1"/>
  <c r="D30" i="110" s="1"/>
  <c r="D31" i="110" s="1"/>
  <c r="C23" i="110"/>
  <c r="C24" i="110" s="1"/>
  <c r="M19" i="110"/>
  <c r="C19" i="111"/>
  <c r="N18" i="111"/>
  <c r="O18" i="111" s="1"/>
  <c r="J26" i="110"/>
  <c r="J21" i="110"/>
  <c r="K25" i="110"/>
  <c r="K26" i="110"/>
  <c r="K20" i="110"/>
  <c r="M32" i="111"/>
  <c r="N34" i="111" s="1"/>
  <c r="J32" i="111"/>
  <c r="O17" i="111"/>
  <c r="J17" i="110"/>
  <c r="J18" i="110"/>
  <c r="J19" i="110"/>
  <c r="K28" i="110"/>
  <c r="N33" i="110"/>
  <c r="D43" i="65" s="1"/>
  <c r="E34" i="65" l="1"/>
  <c r="F113" i="90" s="1"/>
  <c r="N18" i="110"/>
  <c r="O18" i="110" s="1"/>
  <c r="F168" i="89"/>
  <c r="N35" i="111"/>
  <c r="N20" i="110"/>
  <c r="O20" i="110" s="1"/>
  <c r="N53" i="111"/>
  <c r="H34" i="65" s="1"/>
  <c r="F109" i="90" s="1"/>
  <c r="I48" i="110"/>
  <c r="L32" i="110"/>
  <c r="J34" i="111"/>
  <c r="N19" i="110"/>
  <c r="O19" i="110" s="1"/>
  <c r="N21" i="110"/>
  <c r="O21" i="110" s="1"/>
  <c r="N23" i="110"/>
  <c r="O23" i="110" s="1"/>
  <c r="C25" i="110"/>
  <c r="C26" i="110" s="1"/>
  <c r="C27" i="110" s="1"/>
  <c r="C28" i="110" s="1"/>
  <c r="C29" i="110" s="1"/>
  <c r="N29" i="110" s="1"/>
  <c r="O29" i="110" s="1"/>
  <c r="N24" i="110"/>
  <c r="O24" i="110" s="1"/>
  <c r="M32" i="110"/>
  <c r="N34" i="110" s="1"/>
  <c r="K32" i="110"/>
  <c r="N36" i="110" s="1"/>
  <c r="G43" i="65" s="1"/>
  <c r="F170" i="89" s="1"/>
  <c r="J32" i="110"/>
  <c r="J34" i="110" s="1"/>
  <c r="C20" i="111"/>
  <c r="N19" i="111"/>
  <c r="O19" i="111" s="1"/>
  <c r="O22" i="110"/>
  <c r="N17" i="110"/>
  <c r="O17" i="110" s="1"/>
  <c r="G34" i="55"/>
  <c r="J34" i="55" s="1"/>
  <c r="G30" i="55"/>
  <c r="J30" i="55" s="1"/>
  <c r="G31" i="55"/>
  <c r="K31" i="55" s="1"/>
  <c r="G32" i="55"/>
  <c r="J32" i="55" s="1"/>
  <c r="G33" i="55"/>
  <c r="K33" i="55" s="1"/>
  <c r="F34" i="65" l="1"/>
  <c r="I34" i="65" s="1"/>
  <c r="U34" i="65" s="1"/>
  <c r="Y34" i="65" s="1"/>
  <c r="E43" i="65"/>
  <c r="M58" i="111"/>
  <c r="N38" i="111"/>
  <c r="N53" i="110"/>
  <c r="H43" i="65" s="1"/>
  <c r="F171" i="89" s="1"/>
  <c r="C30" i="110"/>
  <c r="C31" i="110" s="1"/>
  <c r="N31" i="110" s="1"/>
  <c r="O31" i="110" s="1"/>
  <c r="N26" i="110"/>
  <c r="O26" i="110" s="1"/>
  <c r="N27" i="110"/>
  <c r="O27" i="110" s="1"/>
  <c r="N25" i="110"/>
  <c r="O25" i="110" s="1"/>
  <c r="N28" i="110"/>
  <c r="O28" i="110" s="1"/>
  <c r="P29" i="110" s="1"/>
  <c r="K34" i="55"/>
  <c r="L34" i="55"/>
  <c r="C21" i="111"/>
  <c r="N20" i="111"/>
  <c r="O20" i="111" s="1"/>
  <c r="P22" i="110"/>
  <c r="L33" i="55"/>
  <c r="L32" i="55"/>
  <c r="J31" i="55"/>
  <c r="L31" i="55"/>
  <c r="J33" i="55"/>
  <c r="K30" i="55"/>
  <c r="K32" i="55"/>
  <c r="F175" i="89" l="1"/>
  <c r="F178" i="89" s="1"/>
  <c r="G179" i="89" s="1"/>
  <c r="F43" i="65"/>
  <c r="I43" i="65" s="1"/>
  <c r="U43" i="65" s="1"/>
  <c r="Y43" i="65" s="1"/>
  <c r="AB43" i="65" s="1"/>
  <c r="AD43" i="65" s="1"/>
  <c r="N35" i="110"/>
  <c r="N38" i="110" s="1"/>
  <c r="N30" i="110"/>
  <c r="O30" i="110" s="1"/>
  <c r="O32" i="110" s="1"/>
  <c r="O34" i="110" s="1"/>
  <c r="P31" i="110"/>
  <c r="P32" i="110" s="1"/>
  <c r="C22" i="111"/>
  <c r="N21" i="111"/>
  <c r="O21" i="111" s="1"/>
  <c r="AB28" i="65" l="1"/>
  <c r="AD28" i="65" s="1"/>
  <c r="Q32" i="110"/>
  <c r="T64" i="65"/>
  <c r="C23" i="111"/>
  <c r="N22" i="111"/>
  <c r="O22" i="111" s="1"/>
  <c r="P22" i="111" s="1"/>
  <c r="D14" i="108"/>
  <c r="M30" i="108" s="1"/>
  <c r="F62" i="108"/>
  <c r="G64" i="108" s="1"/>
  <c r="K52" i="108"/>
  <c r="J52" i="108"/>
  <c r="I33" i="108"/>
  <c r="G31" i="108"/>
  <c r="G30" i="108"/>
  <c r="J30" i="108" s="1"/>
  <c r="G29" i="108"/>
  <c r="J29" i="108" s="1"/>
  <c r="G28" i="108"/>
  <c r="K28" i="108" s="1"/>
  <c r="G27" i="108"/>
  <c r="K27" i="108" s="1"/>
  <c r="G26" i="108"/>
  <c r="G25" i="108"/>
  <c r="R24" i="108"/>
  <c r="G24" i="108"/>
  <c r="G23" i="108"/>
  <c r="J23" i="108" s="1"/>
  <c r="G22" i="108"/>
  <c r="J22" i="108" s="1"/>
  <c r="G21" i="108"/>
  <c r="J21" i="108" s="1"/>
  <c r="G20" i="108"/>
  <c r="J20" i="108" s="1"/>
  <c r="G19" i="108"/>
  <c r="G18" i="108"/>
  <c r="D17" i="108"/>
  <c r="D18" i="108" s="1"/>
  <c r="D19" i="108" s="1"/>
  <c r="D20" i="108" s="1"/>
  <c r="D21" i="108" s="1"/>
  <c r="D22" i="108" s="1"/>
  <c r="D23" i="108" s="1"/>
  <c r="D24" i="108" s="1"/>
  <c r="D25" i="108" s="1"/>
  <c r="D26" i="108" s="1"/>
  <c r="D27" i="108" s="1"/>
  <c r="D28" i="108" s="1"/>
  <c r="D29" i="108" s="1"/>
  <c r="D30" i="108" s="1"/>
  <c r="D31" i="108" s="1"/>
  <c r="D32" i="108" s="1"/>
  <c r="C17" i="108"/>
  <c r="C18" i="108" s="1"/>
  <c r="C19" i="108" s="1"/>
  <c r="C20" i="108" s="1"/>
  <c r="C21" i="108" s="1"/>
  <c r="C22" i="108" s="1"/>
  <c r="C23" i="108" s="1"/>
  <c r="C24" i="108" s="1"/>
  <c r="C25" i="108" s="1"/>
  <c r="C26" i="108" s="1"/>
  <c r="C27" i="108" s="1"/>
  <c r="C28" i="108" s="1"/>
  <c r="C29" i="108" s="1"/>
  <c r="C30" i="108" s="1"/>
  <c r="C31" i="108" s="1"/>
  <c r="C32" i="108" s="1"/>
  <c r="Q14" i="108"/>
  <c r="T14" i="108" s="1"/>
  <c r="G14" i="108"/>
  <c r="M8" i="108"/>
  <c r="M7" i="108"/>
  <c r="J27" i="108" l="1"/>
  <c r="M20" i="108"/>
  <c r="M28" i="108"/>
  <c r="N32" i="108"/>
  <c r="L27" i="108"/>
  <c r="M19" i="108"/>
  <c r="M26" i="108"/>
  <c r="K19" i="108"/>
  <c r="L19" i="108"/>
  <c r="K26" i="108"/>
  <c r="L26" i="108"/>
  <c r="K18" i="108"/>
  <c r="L18" i="108"/>
  <c r="J24" i="108"/>
  <c r="L24" i="108"/>
  <c r="J25" i="108"/>
  <c r="N25" i="108" s="1"/>
  <c r="L25" i="108"/>
  <c r="M17" i="108"/>
  <c r="M23" i="108"/>
  <c r="L34" i="108"/>
  <c r="N35" i="108" s="1"/>
  <c r="M18" i="108"/>
  <c r="L30" i="108"/>
  <c r="M24" i="108"/>
  <c r="M27" i="108"/>
  <c r="M29" i="108"/>
  <c r="M31" i="108"/>
  <c r="J31" i="108"/>
  <c r="L31" i="108"/>
  <c r="C24" i="111"/>
  <c r="N23" i="111"/>
  <c r="O23" i="111" s="1"/>
  <c r="J17" i="108"/>
  <c r="K21" i="108"/>
  <c r="N21" i="108" s="1"/>
  <c r="K25" i="108"/>
  <c r="K22" i="108"/>
  <c r="N22" i="108" s="1"/>
  <c r="K24" i="108"/>
  <c r="J26" i="108"/>
  <c r="N26" i="108" s="1"/>
  <c r="L20" i="108"/>
  <c r="N30" i="108"/>
  <c r="N27" i="108"/>
  <c r="N29" i="108"/>
  <c r="K17" i="108"/>
  <c r="K20" i="108"/>
  <c r="N20" i="108" s="1"/>
  <c r="M22" i="108"/>
  <c r="K23" i="108"/>
  <c r="N23" i="108" s="1"/>
  <c r="K31" i="108"/>
  <c r="N31" i="108" s="1"/>
  <c r="N34" i="108"/>
  <c r="H49" i="108"/>
  <c r="I49" i="108" s="1"/>
  <c r="J28" i="108"/>
  <c r="N28" i="108" s="1"/>
  <c r="J18" i="108"/>
  <c r="J19" i="108"/>
  <c r="M21" i="108"/>
  <c r="M25" i="108"/>
  <c r="N19" i="108" l="1"/>
  <c r="O19" i="108" s="1"/>
  <c r="N18" i="108"/>
  <c r="O18" i="108" s="1"/>
  <c r="O27" i="108"/>
  <c r="N24" i="108"/>
  <c r="O24" i="108" s="1"/>
  <c r="N17" i="108"/>
  <c r="O17" i="108" s="1"/>
  <c r="L33" i="108"/>
  <c r="C25" i="111"/>
  <c r="N24" i="111"/>
  <c r="O24" i="111" s="1"/>
  <c r="O21" i="108"/>
  <c r="O25" i="108"/>
  <c r="O22" i="108"/>
  <c r="N36" i="108"/>
  <c r="O30" i="108"/>
  <c r="O26" i="108"/>
  <c r="O20" i="108"/>
  <c r="O28" i="108"/>
  <c r="K33" i="108"/>
  <c r="N37" i="108" s="1"/>
  <c r="O31" i="108"/>
  <c r="J33" i="108"/>
  <c r="J35" i="108" s="1"/>
  <c r="O23" i="108"/>
  <c r="O29" i="108"/>
  <c r="M33" i="108"/>
  <c r="N52" i="108"/>
  <c r="N53" i="108" s="1"/>
  <c r="N38" i="108" s="1"/>
  <c r="P22" i="108" l="1"/>
  <c r="C26" i="111"/>
  <c r="N25" i="111"/>
  <c r="O25" i="111" s="1"/>
  <c r="O33" i="108"/>
  <c r="O35" i="108" s="1"/>
  <c r="N39" i="108"/>
  <c r="P31" i="108"/>
  <c r="P29" i="108"/>
  <c r="C27" i="111" l="1"/>
  <c r="N26" i="111"/>
  <c r="O26" i="111" s="1"/>
  <c r="P33" i="108"/>
  <c r="Q33" i="108" s="1"/>
  <c r="C28" i="111" l="1"/>
  <c r="N27" i="111"/>
  <c r="O27" i="111" s="1"/>
  <c r="C29" i="111" l="1"/>
  <c r="N28" i="111"/>
  <c r="O28" i="111" s="1"/>
  <c r="D14" i="101"/>
  <c r="D14" i="82"/>
  <c r="D14" i="68"/>
  <c r="D14" i="73"/>
  <c r="D14" i="74"/>
  <c r="D14" i="95"/>
  <c r="C13" i="45"/>
  <c r="K32" i="45" s="1"/>
  <c r="D12" i="55"/>
  <c r="M23" i="55" s="1"/>
  <c r="D13" i="93"/>
  <c r="L33" i="95" l="1"/>
  <c r="M20" i="95"/>
  <c r="M28" i="95"/>
  <c r="M23" i="95"/>
  <c r="M31" i="74"/>
  <c r="N33" i="74"/>
  <c r="M31" i="95"/>
  <c r="M21" i="95"/>
  <c r="M19" i="95"/>
  <c r="M30" i="95"/>
  <c r="M19" i="101"/>
  <c r="M21" i="101"/>
  <c r="M26" i="101"/>
  <c r="M23" i="101"/>
  <c r="L33" i="82"/>
  <c r="M19" i="82"/>
  <c r="L33" i="101"/>
  <c r="M24" i="73"/>
  <c r="L33" i="73"/>
  <c r="M24" i="95"/>
  <c r="M26" i="95"/>
  <c r="M17" i="95"/>
  <c r="M27" i="75"/>
  <c r="M20" i="75"/>
  <c r="M19" i="75"/>
  <c r="M18" i="75"/>
  <c r="M22" i="81"/>
  <c r="M27" i="95"/>
  <c r="M18" i="95"/>
  <c r="M27" i="101"/>
  <c r="M20" i="101"/>
  <c r="M27" i="99"/>
  <c r="M26" i="99"/>
  <c r="M18" i="88"/>
  <c r="M27" i="73"/>
  <c r="M17" i="82"/>
  <c r="M21" i="92"/>
  <c r="M19" i="92"/>
  <c r="M22" i="99"/>
  <c r="M20" i="99"/>
  <c r="M21" i="99"/>
  <c r="M28" i="99"/>
  <c r="M18" i="101"/>
  <c r="M26" i="98"/>
  <c r="M24" i="98"/>
  <c r="M21" i="74"/>
  <c r="L33" i="74"/>
  <c r="M30" i="74"/>
  <c r="M30" i="99"/>
  <c r="M29" i="99"/>
  <c r="M21" i="73"/>
  <c r="M30" i="73"/>
  <c r="M19" i="73"/>
  <c r="M22" i="92"/>
  <c r="L23" i="45"/>
  <c r="M27" i="82"/>
  <c r="M20" i="98"/>
  <c r="L33" i="93"/>
  <c r="M28" i="93"/>
  <c r="M26" i="93"/>
  <c r="M22" i="93"/>
  <c r="M18" i="93"/>
  <c r="M29" i="93"/>
  <c r="M27" i="93"/>
  <c r="M25" i="93"/>
  <c r="M19" i="93"/>
  <c r="M18" i="99"/>
  <c r="M34" i="55"/>
  <c r="M33" i="55"/>
  <c r="M31" i="55"/>
  <c r="L37" i="55"/>
  <c r="M32" i="55"/>
  <c r="M30" i="55"/>
  <c r="L16" i="45"/>
  <c r="M17" i="73"/>
  <c r="M20" i="73"/>
  <c r="L33" i="68"/>
  <c r="M30" i="68"/>
  <c r="C30" i="111"/>
  <c r="N29" i="111"/>
  <c r="O29" i="111" s="1"/>
  <c r="P29" i="111" s="1"/>
  <c r="M16" i="55"/>
  <c r="M25" i="55"/>
  <c r="M19" i="55"/>
  <c r="M24" i="55"/>
  <c r="M18" i="55"/>
  <c r="M28" i="55"/>
  <c r="M22" i="55"/>
  <c r="M17" i="55"/>
  <c r="M27" i="55"/>
  <c r="M20" i="55"/>
  <c r="M15" i="55"/>
  <c r="M32" i="95" l="1"/>
  <c r="N34" i="95" s="1"/>
  <c r="M32" i="101"/>
  <c r="M32" i="82"/>
  <c r="N34" i="82" s="1"/>
  <c r="M32" i="88"/>
  <c r="N34" i="88" s="1"/>
  <c r="M32" i="67"/>
  <c r="N34" i="67" s="1"/>
  <c r="M32" i="81"/>
  <c r="N34" i="81" s="1"/>
  <c r="C31" i="111"/>
  <c r="N30" i="111"/>
  <c r="O30" i="111" s="1"/>
  <c r="E19" i="65" l="1"/>
  <c r="N34" i="101"/>
  <c r="E33" i="65" s="1"/>
  <c r="B205" i="90" s="1"/>
  <c r="E29" i="65"/>
  <c r="E40" i="65"/>
  <c r="E20" i="65"/>
  <c r="E42" i="65"/>
  <c r="B143" i="90" s="1"/>
  <c r="N31" i="111"/>
  <c r="O31" i="111" s="1"/>
  <c r="O32" i="111" s="1"/>
  <c r="O34" i="111" s="1"/>
  <c r="J51" i="81"/>
  <c r="M22" i="73"/>
  <c r="I51" i="45"/>
  <c r="J51" i="45"/>
  <c r="J51" i="98"/>
  <c r="P31" i="111" l="1"/>
  <c r="P32" i="111" s="1"/>
  <c r="Q32" i="111" s="1"/>
  <c r="C17" i="101" l="1"/>
  <c r="D17" i="101"/>
  <c r="D17" i="81"/>
  <c r="C17" i="81"/>
  <c r="D17" i="80"/>
  <c r="C17" i="80"/>
  <c r="D17" i="82"/>
  <c r="C17" i="82"/>
  <c r="D17" i="99"/>
  <c r="C17" i="99"/>
  <c r="D17" i="68"/>
  <c r="C17" i="68"/>
  <c r="D17" i="75"/>
  <c r="C17" i="75"/>
  <c r="D17" i="73"/>
  <c r="D18" i="73" s="1"/>
  <c r="C17" i="73"/>
  <c r="D17" i="74"/>
  <c r="C17" i="74"/>
  <c r="D17" i="95"/>
  <c r="C17" i="95"/>
  <c r="D17" i="67"/>
  <c r="C17" i="67"/>
  <c r="D17" i="88"/>
  <c r="C17" i="88"/>
  <c r="D16" i="96"/>
  <c r="C16" i="96"/>
  <c r="D17" i="102" l="1"/>
  <c r="C17" i="102"/>
  <c r="G29" i="101" l="1"/>
  <c r="K29" i="101" l="1"/>
  <c r="B170" i="90"/>
  <c r="F81" i="90"/>
  <c r="F19" i="90"/>
  <c r="F14" i="90"/>
  <c r="B171" i="89"/>
  <c r="B143" i="89"/>
  <c r="B113" i="89"/>
  <c r="F78" i="89"/>
  <c r="F76" i="89" l="1"/>
  <c r="B81" i="89"/>
  <c r="B194" i="90" l="1"/>
  <c r="B193" i="90"/>
  <c r="F164" i="90"/>
  <c r="F163" i="90"/>
  <c r="G24" i="81" l="1"/>
  <c r="L24" i="81" s="1"/>
  <c r="G28" i="99"/>
  <c r="K28" i="99" l="1"/>
  <c r="K24" i="81"/>
  <c r="J24" i="81"/>
  <c r="G20" i="95" l="1"/>
  <c r="G18" i="55"/>
  <c r="K20" i="95" l="1"/>
  <c r="J20" i="95"/>
  <c r="J18" i="55"/>
  <c r="L18" i="55"/>
  <c r="G24" i="67"/>
  <c r="G17" i="67"/>
  <c r="K24" i="67" l="1"/>
  <c r="K20" i="67"/>
  <c r="J17" i="67"/>
  <c r="J17" i="88"/>
  <c r="J20" i="67"/>
  <c r="J24" i="67"/>
  <c r="J24" i="88"/>
  <c r="J23" i="94"/>
  <c r="F29" i="45"/>
  <c r="F30" i="45"/>
  <c r="F23" i="45"/>
  <c r="F16" i="45"/>
  <c r="K16" i="45" s="1"/>
  <c r="Q13" i="93"/>
  <c r="T13" i="93" s="1"/>
  <c r="G18" i="101"/>
  <c r="G24" i="101"/>
  <c r="G24" i="102"/>
  <c r="L24" i="102" s="1"/>
  <c r="Q14" i="81"/>
  <c r="T14" i="81" s="1"/>
  <c r="G24" i="80"/>
  <c r="G24" i="82"/>
  <c r="J24" i="82" s="1"/>
  <c r="G17" i="82"/>
  <c r="G22" i="99"/>
  <c r="G24" i="99"/>
  <c r="G25" i="99"/>
  <c r="G17" i="99"/>
  <c r="G31" i="68"/>
  <c r="G24" i="68"/>
  <c r="G17" i="68"/>
  <c r="G24" i="73"/>
  <c r="L24" i="73" s="1"/>
  <c r="G17" i="73"/>
  <c r="L17" i="73" s="1"/>
  <c r="G24" i="75"/>
  <c r="L24" i="75" s="1"/>
  <c r="G24" i="74"/>
  <c r="G17" i="74"/>
  <c r="G24" i="95"/>
  <c r="G29" i="55"/>
  <c r="K29" i="55" s="1"/>
  <c r="G22" i="55"/>
  <c r="G15" i="55"/>
  <c r="J15" i="55" s="1"/>
  <c r="G29" i="93"/>
  <c r="L29" i="93" s="1"/>
  <c r="G30" i="93"/>
  <c r="G26" i="93"/>
  <c r="L26" i="93" s="1"/>
  <c r="G23" i="93"/>
  <c r="G19" i="93"/>
  <c r="L19" i="93" s="1"/>
  <c r="G16" i="93"/>
  <c r="G24" i="98"/>
  <c r="G17" i="98"/>
  <c r="G23" i="96"/>
  <c r="G16" i="96"/>
  <c r="G24" i="92"/>
  <c r="G17" i="92"/>
  <c r="G21" i="74"/>
  <c r="G27" i="96"/>
  <c r="G20" i="96"/>
  <c r="G28" i="92"/>
  <c r="K17" i="99" l="1"/>
  <c r="J24" i="95"/>
  <c r="K27" i="96"/>
  <c r="K24" i="99"/>
  <c r="K25" i="99"/>
  <c r="K22" i="99"/>
  <c r="J24" i="101"/>
  <c r="J24" i="75"/>
  <c r="I23" i="45"/>
  <c r="K23" i="45"/>
  <c r="K20" i="96"/>
  <c r="J20" i="96"/>
  <c r="J27" i="96"/>
  <c r="K31" i="68"/>
  <c r="K17" i="98"/>
  <c r="K16" i="96"/>
  <c r="K24" i="98"/>
  <c r="I16" i="45"/>
  <c r="J24" i="80"/>
  <c r="I30" i="45"/>
  <c r="J22" i="99"/>
  <c r="J23" i="96"/>
  <c r="J30" i="93"/>
  <c r="J17" i="74"/>
  <c r="N17" i="74" s="1"/>
  <c r="J17" i="68"/>
  <c r="J24" i="68"/>
  <c r="K24" i="75"/>
  <c r="K18" i="101"/>
  <c r="J18" i="101"/>
  <c r="J16" i="96"/>
  <c r="J17" i="73"/>
  <c r="N17" i="73" s="1"/>
  <c r="J24" i="102"/>
  <c r="K30" i="93"/>
  <c r="J17" i="98"/>
  <c r="J26" i="93"/>
  <c r="K26" i="93"/>
  <c r="K29" i="93"/>
  <c r="J29" i="55"/>
  <c r="J24" i="73"/>
  <c r="J31" i="68"/>
  <c r="J28" i="92"/>
  <c r="J24" i="92"/>
  <c r="J24" i="98"/>
  <c r="J29" i="93"/>
  <c r="J24" i="99"/>
  <c r="J17" i="80"/>
  <c r="N17" i="80" s="1"/>
  <c r="J27" i="94"/>
  <c r="J23" i="93"/>
  <c r="J17" i="99"/>
  <c r="J17" i="92"/>
  <c r="J16" i="93"/>
  <c r="J25" i="99"/>
  <c r="J17" i="82"/>
  <c r="B39" i="90"/>
  <c r="B225" i="90" s="1"/>
  <c r="M29" i="55" l="1"/>
  <c r="M21" i="93"/>
  <c r="M24" i="93"/>
  <c r="M21" i="55"/>
  <c r="L22" i="45"/>
  <c r="M30" i="93"/>
  <c r="M23" i="93"/>
  <c r="M16" i="93"/>
  <c r="L28" i="45"/>
  <c r="M26" i="55"/>
  <c r="M36" i="55" l="1"/>
  <c r="K77" i="107"/>
  <c r="N77" i="107" s="1"/>
  <c r="J77" i="107"/>
  <c r="K76" i="107"/>
  <c r="N76" i="107" s="1"/>
  <c r="J76" i="107"/>
  <c r="J53" i="107"/>
  <c r="K52" i="107"/>
  <c r="J52" i="107"/>
  <c r="I33" i="107"/>
  <c r="K32" i="107"/>
  <c r="J32" i="107"/>
  <c r="K31" i="107"/>
  <c r="G29" i="107"/>
  <c r="J29" i="107" s="1"/>
  <c r="G28" i="107"/>
  <c r="J28" i="107" s="1"/>
  <c r="G27" i="107"/>
  <c r="J27" i="107" s="1"/>
  <c r="G26" i="107"/>
  <c r="J26" i="107" s="1"/>
  <c r="G25" i="107"/>
  <c r="J25" i="107" s="1"/>
  <c r="R24" i="107"/>
  <c r="G24" i="107"/>
  <c r="K24" i="107" s="1"/>
  <c r="G23" i="107"/>
  <c r="J23" i="107" s="1"/>
  <c r="G22" i="107"/>
  <c r="J22" i="107" s="1"/>
  <c r="G21" i="107"/>
  <c r="J21" i="107" s="1"/>
  <c r="G20" i="107"/>
  <c r="J20" i="107" s="1"/>
  <c r="G19" i="107"/>
  <c r="J19" i="107" s="1"/>
  <c r="G18" i="107"/>
  <c r="J18" i="107" s="1"/>
  <c r="G17" i="107"/>
  <c r="J17" i="107" s="1"/>
  <c r="D18" i="107"/>
  <c r="D19" i="107" s="1"/>
  <c r="D20" i="107" s="1"/>
  <c r="D21" i="107" s="1"/>
  <c r="D22" i="107" s="1"/>
  <c r="D23" i="107" s="1"/>
  <c r="D24" i="107" s="1"/>
  <c r="D25" i="107" s="1"/>
  <c r="D26" i="107" s="1"/>
  <c r="D27" i="107" s="1"/>
  <c r="D28" i="107" s="1"/>
  <c r="D29" i="107" s="1"/>
  <c r="D30" i="107" s="1"/>
  <c r="D31" i="107" s="1"/>
  <c r="C18" i="107"/>
  <c r="C19" i="107" s="1"/>
  <c r="C20" i="107" s="1"/>
  <c r="C21" i="107" s="1"/>
  <c r="C22" i="107" s="1"/>
  <c r="C23" i="107" s="1"/>
  <c r="C24" i="107" s="1"/>
  <c r="C25" i="107" s="1"/>
  <c r="C26" i="107" s="1"/>
  <c r="C27" i="107" s="1"/>
  <c r="C28" i="107" s="1"/>
  <c r="C29" i="107" s="1"/>
  <c r="C30" i="107" s="1"/>
  <c r="C31" i="107" s="1"/>
  <c r="D14" i="107"/>
  <c r="M18" i="107" s="1"/>
  <c r="M8" i="107"/>
  <c r="M7" i="107"/>
  <c r="L6" i="45"/>
  <c r="M17" i="107" l="1"/>
  <c r="N79" i="107"/>
  <c r="M25" i="107"/>
  <c r="M27" i="107"/>
  <c r="L34" i="107"/>
  <c r="M20" i="107"/>
  <c r="M19" i="107"/>
  <c r="M21" i="107"/>
  <c r="M26" i="107"/>
  <c r="K17" i="107"/>
  <c r="K18" i="107"/>
  <c r="K19" i="107"/>
  <c r="K20" i="107"/>
  <c r="K21" i="107"/>
  <c r="M22" i="107"/>
  <c r="K23" i="107"/>
  <c r="M24" i="107"/>
  <c r="K25" i="107"/>
  <c r="K26" i="107"/>
  <c r="K27" i="107"/>
  <c r="K28" i="107"/>
  <c r="M30" i="107"/>
  <c r="L33" i="107"/>
  <c r="H49" i="107"/>
  <c r="J24" i="107"/>
  <c r="M28" i="107"/>
  <c r="J31" i="107"/>
  <c r="G14" i="107"/>
  <c r="M7" i="106"/>
  <c r="O26" i="107" l="1"/>
  <c r="O18" i="107"/>
  <c r="O17" i="107"/>
  <c r="O25" i="107"/>
  <c r="O24" i="107"/>
  <c r="O23" i="107"/>
  <c r="M33" i="107"/>
  <c r="N35" i="107" s="1"/>
  <c r="O21" i="107"/>
  <c r="O28" i="107"/>
  <c r="O20" i="107"/>
  <c r="O27" i="107"/>
  <c r="O19" i="107"/>
  <c r="O31" i="107"/>
  <c r="N53" i="107"/>
  <c r="N52" i="107"/>
  <c r="I49" i="107"/>
  <c r="O30" i="107"/>
  <c r="O29" i="107"/>
  <c r="J33" i="107"/>
  <c r="J35" i="107" s="1"/>
  <c r="O22" i="107"/>
  <c r="K33" i="107"/>
  <c r="N37" i="107" s="1"/>
  <c r="B40" i="89"/>
  <c r="N54" i="107" l="1"/>
  <c r="P22" i="107"/>
  <c r="P29" i="107"/>
  <c r="P31" i="107"/>
  <c r="N38" i="107"/>
  <c r="N34" i="107"/>
  <c r="N36" i="107" s="1"/>
  <c r="N39" i="107" s="1"/>
  <c r="O33" i="107"/>
  <c r="D14" i="106"/>
  <c r="G14" i="106" s="1"/>
  <c r="G29" i="106"/>
  <c r="L29" i="106" s="1"/>
  <c r="M25" i="106" l="1"/>
  <c r="M24" i="106"/>
  <c r="L34" i="106"/>
  <c r="M23" i="106"/>
  <c r="M31" i="106"/>
  <c r="M22" i="106"/>
  <c r="M30" i="106"/>
  <c r="M20" i="106"/>
  <c r="M29" i="106"/>
  <c r="M19" i="106"/>
  <c r="M28" i="106"/>
  <c r="M27" i="106"/>
  <c r="M18" i="106"/>
  <c r="M21" i="106"/>
  <c r="M26" i="106"/>
  <c r="M17" i="106"/>
  <c r="P33" i="107"/>
  <c r="Q33" i="107" s="1"/>
  <c r="O35" i="107"/>
  <c r="L29" i="45" l="1"/>
  <c r="L24" i="45"/>
  <c r="L21" i="45"/>
  <c r="L18" i="45"/>
  <c r="L17" i="45"/>
  <c r="G29" i="102"/>
  <c r="AB53" i="65" l="1"/>
  <c r="AD53" i="65" s="1"/>
  <c r="D56" i="55"/>
  <c r="J56" i="55"/>
  <c r="K56" i="55"/>
  <c r="M56" i="55"/>
  <c r="Q12" i="55" l="1"/>
  <c r="T12" i="55" s="1"/>
  <c r="G18" i="82"/>
  <c r="G28" i="106" l="1"/>
  <c r="K77" i="106"/>
  <c r="N77" i="106" s="1"/>
  <c r="J77" i="106"/>
  <c r="K76" i="106"/>
  <c r="N76" i="106" s="1"/>
  <c r="J76" i="106"/>
  <c r="J53" i="106"/>
  <c r="K52" i="106"/>
  <c r="J52" i="106"/>
  <c r="I33" i="106"/>
  <c r="K32" i="106"/>
  <c r="J32" i="106"/>
  <c r="G31" i="106"/>
  <c r="L31" i="106" s="1"/>
  <c r="J28" i="106"/>
  <c r="G27" i="106"/>
  <c r="G26" i="106"/>
  <c r="G25" i="106"/>
  <c r="R24" i="106"/>
  <c r="G24" i="106"/>
  <c r="G23" i="106"/>
  <c r="G22" i="106"/>
  <c r="G21" i="106"/>
  <c r="G20" i="106"/>
  <c r="G19" i="106"/>
  <c r="G18" i="106"/>
  <c r="G17" i="106"/>
  <c r="D18" i="106"/>
  <c r="D19" i="106" s="1"/>
  <c r="D20" i="106" s="1"/>
  <c r="D21" i="106" s="1"/>
  <c r="D22" i="106" s="1"/>
  <c r="D23" i="106" s="1"/>
  <c r="D24" i="106" s="1"/>
  <c r="D25" i="106" s="1"/>
  <c r="D26" i="106" s="1"/>
  <c r="D27" i="106" s="1"/>
  <c r="D28" i="106" s="1"/>
  <c r="D29" i="106" s="1"/>
  <c r="D30" i="106" s="1"/>
  <c r="D31" i="106" s="1"/>
  <c r="C18" i="106"/>
  <c r="C19" i="106" s="1"/>
  <c r="C20" i="106" s="1"/>
  <c r="C21" i="106" s="1"/>
  <c r="C22" i="106" s="1"/>
  <c r="C23" i="106" s="1"/>
  <c r="C24" i="106" s="1"/>
  <c r="C25" i="106" s="1"/>
  <c r="C26" i="106" s="1"/>
  <c r="C27" i="106" s="1"/>
  <c r="C28" i="106" s="1"/>
  <c r="C29" i="106" s="1"/>
  <c r="M8" i="106"/>
  <c r="C18" i="102"/>
  <c r="C19" i="102" l="1"/>
  <c r="N79" i="106"/>
  <c r="J23" i="106"/>
  <c r="L23" i="106"/>
  <c r="J24" i="106"/>
  <c r="L24" i="106"/>
  <c r="J17" i="106"/>
  <c r="L17" i="106"/>
  <c r="J18" i="106"/>
  <c r="L18" i="106"/>
  <c r="J27" i="106"/>
  <c r="J26" i="106"/>
  <c r="L26" i="106"/>
  <c r="J25" i="106"/>
  <c r="J22" i="106"/>
  <c r="O22" i="106" s="1"/>
  <c r="L22" i="106"/>
  <c r="J20" i="106"/>
  <c r="J19" i="106"/>
  <c r="L19" i="106"/>
  <c r="K17" i="106"/>
  <c r="J21" i="106"/>
  <c r="K27" i="106"/>
  <c r="K20" i="106"/>
  <c r="J30" i="106"/>
  <c r="K28" i="106"/>
  <c r="O28" i="106" s="1"/>
  <c r="K23" i="106"/>
  <c r="J31" i="106"/>
  <c r="K25" i="106"/>
  <c r="K21" i="106"/>
  <c r="K26" i="106"/>
  <c r="K19" i="106"/>
  <c r="K18" i="106"/>
  <c r="C30" i="106"/>
  <c r="C31" i="106" s="1"/>
  <c r="K24" i="106"/>
  <c r="O24" i="106" s="1"/>
  <c r="K30" i="106"/>
  <c r="K31" i="106"/>
  <c r="H49" i="106"/>
  <c r="O23" i="106" l="1"/>
  <c r="O17" i="106"/>
  <c r="C20" i="102"/>
  <c r="O18" i="106"/>
  <c r="O20" i="106"/>
  <c r="L33" i="106"/>
  <c r="O26" i="106"/>
  <c r="O27" i="106"/>
  <c r="O25" i="106"/>
  <c r="O19" i="106"/>
  <c r="O21" i="106"/>
  <c r="P22" i="106" s="1"/>
  <c r="O30" i="106"/>
  <c r="J33" i="106"/>
  <c r="J35" i="106" s="1"/>
  <c r="O31" i="106"/>
  <c r="P31" i="106" s="1"/>
  <c r="N53" i="106"/>
  <c r="N52" i="106"/>
  <c r="I49" i="106"/>
  <c r="O29" i="106"/>
  <c r="M33" i="106"/>
  <c r="N35" i="106" s="1"/>
  <c r="K33" i="106"/>
  <c r="N37" i="106" s="1"/>
  <c r="M18" i="98"/>
  <c r="G29" i="98"/>
  <c r="G22" i="98"/>
  <c r="F27" i="45"/>
  <c r="K27" i="45" s="1"/>
  <c r="F19" i="45"/>
  <c r="K29" i="98" l="1"/>
  <c r="K22" i="98"/>
  <c r="K23" i="98"/>
  <c r="C21" i="102"/>
  <c r="C22" i="102" s="1"/>
  <c r="N54" i="106"/>
  <c r="N38" i="106" s="1"/>
  <c r="J29" i="98"/>
  <c r="O33" i="106"/>
  <c r="O35" i="106" s="1"/>
  <c r="P29" i="106"/>
  <c r="P33" i="106" s="1"/>
  <c r="N34" i="106" l="1"/>
  <c r="N36" i="106" s="1"/>
  <c r="N39" i="106" s="1"/>
  <c r="C23" i="102"/>
  <c r="Q33" i="106"/>
  <c r="H178" i="90"/>
  <c r="C24" i="102" l="1"/>
  <c r="K76" i="102"/>
  <c r="N76" i="102" s="1"/>
  <c r="J76" i="102"/>
  <c r="K75" i="102"/>
  <c r="N75" i="102" s="1"/>
  <c r="J75" i="102"/>
  <c r="K51" i="102"/>
  <c r="J51" i="102"/>
  <c r="J29" i="102"/>
  <c r="G28" i="102"/>
  <c r="G25" i="102"/>
  <c r="R24" i="102"/>
  <c r="G23" i="102"/>
  <c r="L23" i="102" s="1"/>
  <c r="G22" i="102"/>
  <c r="G21" i="102"/>
  <c r="G20" i="102"/>
  <c r="L20" i="102" s="1"/>
  <c r="G18" i="102"/>
  <c r="G17" i="102"/>
  <c r="D18" i="102"/>
  <c r="D19" i="102" s="1"/>
  <c r="D20" i="102" s="1"/>
  <c r="D21" i="102" s="1"/>
  <c r="D22" i="102" s="1"/>
  <c r="D23" i="102" s="1"/>
  <c r="D24" i="102" s="1"/>
  <c r="D25" i="102" s="1"/>
  <c r="D26" i="102" s="1"/>
  <c r="D27" i="102" s="1"/>
  <c r="D28" i="102" s="1"/>
  <c r="D29" i="102" s="1"/>
  <c r="D30" i="102" s="1"/>
  <c r="D31" i="102" s="1"/>
  <c r="M8" i="102"/>
  <c r="M7" i="102"/>
  <c r="G25" i="101"/>
  <c r="K24" i="101"/>
  <c r="G23" i="101"/>
  <c r="L23" i="101" s="1"/>
  <c r="G21" i="101"/>
  <c r="G20" i="101"/>
  <c r="L20" i="101" s="1"/>
  <c r="G17" i="101"/>
  <c r="K17" i="101" l="1"/>
  <c r="J28" i="102"/>
  <c r="C25" i="102"/>
  <c r="N24" i="102"/>
  <c r="J17" i="101"/>
  <c r="J20" i="102"/>
  <c r="J17" i="102"/>
  <c r="N78" i="102"/>
  <c r="J20" i="101"/>
  <c r="K20" i="101"/>
  <c r="J18" i="102"/>
  <c r="J25" i="102"/>
  <c r="J26" i="102"/>
  <c r="J19" i="102"/>
  <c r="J22" i="102"/>
  <c r="N22" i="102" s="1"/>
  <c r="J23" i="102"/>
  <c r="J21" i="102"/>
  <c r="K25" i="101"/>
  <c r="K23" i="101"/>
  <c r="K21" i="101"/>
  <c r="J19" i="101"/>
  <c r="K17" i="102"/>
  <c r="K18" i="102"/>
  <c r="K20" i="102"/>
  <c r="K21" i="102"/>
  <c r="K23" i="102"/>
  <c r="K25" i="102"/>
  <c r="K28" i="102"/>
  <c r="H48" i="102"/>
  <c r="N51" i="102" s="1"/>
  <c r="J21" i="101"/>
  <c r="J23" i="101"/>
  <c r="J25" i="101"/>
  <c r="F61" i="101"/>
  <c r="G63" i="101" s="1"/>
  <c r="K51" i="101"/>
  <c r="J51" i="101"/>
  <c r="I32" i="101"/>
  <c r="G28" i="101"/>
  <c r="R24" i="101"/>
  <c r="G22" i="101"/>
  <c r="D18" i="101"/>
  <c r="D19" i="101" s="1"/>
  <c r="D20" i="101" s="1"/>
  <c r="D21" i="101" s="1"/>
  <c r="D22" i="101" s="1"/>
  <c r="D23" i="101" s="1"/>
  <c r="D24" i="101" s="1"/>
  <c r="D25" i="101" s="1"/>
  <c r="D26" i="101" s="1"/>
  <c r="D27" i="101" s="1"/>
  <c r="D28" i="101" s="1"/>
  <c r="D29" i="101" s="1"/>
  <c r="D30" i="101" s="1"/>
  <c r="D31" i="101" s="1"/>
  <c r="C18" i="101"/>
  <c r="Q14" i="101"/>
  <c r="T14" i="101" s="1"/>
  <c r="M8" i="101"/>
  <c r="M7" i="101"/>
  <c r="F62" i="99"/>
  <c r="G64" i="99" s="1"/>
  <c r="H59" i="65" s="1"/>
  <c r="I32" i="99"/>
  <c r="G29" i="99"/>
  <c r="R24" i="99"/>
  <c r="G23" i="99"/>
  <c r="G21" i="99"/>
  <c r="G20" i="99"/>
  <c r="L20" i="99" s="1"/>
  <c r="G18" i="99"/>
  <c r="D18" i="99"/>
  <c r="D19" i="99" s="1"/>
  <c r="D20" i="99" s="1"/>
  <c r="D21" i="99" s="1"/>
  <c r="D22" i="99" s="1"/>
  <c r="D23" i="99" s="1"/>
  <c r="D24" i="99" s="1"/>
  <c r="D25" i="99" s="1"/>
  <c r="D26" i="99" s="1"/>
  <c r="D27" i="99" s="1"/>
  <c r="D28" i="99" s="1"/>
  <c r="D29" i="99" s="1"/>
  <c r="D30" i="99" s="1"/>
  <c r="D31" i="99" s="1"/>
  <c r="C18" i="99"/>
  <c r="Q14" i="99"/>
  <c r="T14" i="99" s="1"/>
  <c r="M8" i="99"/>
  <c r="M7" i="99"/>
  <c r="K28" i="101" l="1"/>
  <c r="K29" i="99"/>
  <c r="AB45" i="65"/>
  <c r="AD45" i="65" s="1"/>
  <c r="N19" i="102"/>
  <c r="O19" i="102" s="1"/>
  <c r="N21" i="102"/>
  <c r="O21" i="102" s="1"/>
  <c r="N23" i="102"/>
  <c r="O23" i="102" s="1"/>
  <c r="N17" i="102"/>
  <c r="O17" i="102" s="1"/>
  <c r="N18" i="102"/>
  <c r="O18" i="102" s="1"/>
  <c r="N20" i="102"/>
  <c r="O20" i="102" s="1"/>
  <c r="C19" i="101"/>
  <c r="C26" i="102"/>
  <c r="N25" i="102"/>
  <c r="O25" i="102" s="1"/>
  <c r="C19" i="99"/>
  <c r="K18" i="99"/>
  <c r="J18" i="99"/>
  <c r="L32" i="101"/>
  <c r="J29" i="99"/>
  <c r="J23" i="99"/>
  <c r="K26" i="99"/>
  <c r="L32" i="102"/>
  <c r="J29" i="101"/>
  <c r="K22" i="101"/>
  <c r="O22" i="102"/>
  <c r="J32" i="102"/>
  <c r="I48" i="102"/>
  <c r="K32" i="102"/>
  <c r="N36" i="102" s="1"/>
  <c r="G22" i="65" s="1"/>
  <c r="M32" i="102"/>
  <c r="N34" i="102" s="1"/>
  <c r="O24" i="102"/>
  <c r="J26" i="101"/>
  <c r="J22" i="101"/>
  <c r="J28" i="101"/>
  <c r="G14" i="101"/>
  <c r="N18" i="101" s="1"/>
  <c r="H48" i="101"/>
  <c r="K21" i="99"/>
  <c r="J21" i="99"/>
  <c r="J19" i="99"/>
  <c r="K23" i="99"/>
  <c r="J26" i="99"/>
  <c r="J20" i="99"/>
  <c r="J28" i="99"/>
  <c r="G14" i="99"/>
  <c r="N17" i="99" s="1"/>
  <c r="K20" i="99"/>
  <c r="H49" i="99"/>
  <c r="N52" i="99" s="1"/>
  <c r="E22" i="65" l="1"/>
  <c r="N51" i="101"/>
  <c r="F46" i="90"/>
  <c r="J34" i="102"/>
  <c r="K32" i="101"/>
  <c r="N36" i="101" s="1"/>
  <c r="G33" i="65" s="1"/>
  <c r="B200" i="90" s="1"/>
  <c r="K32" i="99"/>
  <c r="N36" i="99" s="1"/>
  <c r="N17" i="101"/>
  <c r="O17" i="101" s="1"/>
  <c r="N18" i="99"/>
  <c r="O18" i="99" s="1"/>
  <c r="C20" i="101"/>
  <c r="N19" i="101"/>
  <c r="O19" i="101" s="1"/>
  <c r="C27" i="102"/>
  <c r="N27" i="102" s="1"/>
  <c r="N26" i="102"/>
  <c r="O26" i="102" s="1"/>
  <c r="C20" i="99"/>
  <c r="N19" i="99"/>
  <c r="O19" i="99" s="1"/>
  <c r="P22" i="102"/>
  <c r="L32" i="99"/>
  <c r="N53" i="102"/>
  <c r="J32" i="101"/>
  <c r="I48" i="101"/>
  <c r="N53" i="101"/>
  <c r="O18" i="101"/>
  <c r="O17" i="99"/>
  <c r="I49" i="99"/>
  <c r="M32" i="99"/>
  <c r="H33" i="65" l="1"/>
  <c r="B201" i="90" s="1"/>
  <c r="N33" i="101"/>
  <c r="N35" i="102"/>
  <c r="F22" i="65"/>
  <c r="I22" i="65" s="1"/>
  <c r="U22" i="65" s="1"/>
  <c r="Y22" i="65" s="1"/>
  <c r="F51" i="90"/>
  <c r="N34" i="99"/>
  <c r="E59" i="65" s="1"/>
  <c r="J34" i="101"/>
  <c r="N54" i="99"/>
  <c r="N33" i="99" s="1"/>
  <c r="D59" i="65" s="1"/>
  <c r="C21" i="101"/>
  <c r="N20" i="101"/>
  <c r="O20" i="101" s="1"/>
  <c r="C28" i="102"/>
  <c r="O27" i="102"/>
  <c r="C21" i="99"/>
  <c r="N20" i="99"/>
  <c r="O20" i="99" s="1"/>
  <c r="N38" i="102"/>
  <c r="D33" i="65" l="1"/>
  <c r="N35" i="101"/>
  <c r="N38" i="101" s="1"/>
  <c r="C22" i="101"/>
  <c r="N21" i="101"/>
  <c r="O21" i="101" s="1"/>
  <c r="C29" i="102"/>
  <c r="N28" i="102"/>
  <c r="O28" i="102" s="1"/>
  <c r="C22" i="99"/>
  <c r="N21" i="99"/>
  <c r="O21" i="99" s="1"/>
  <c r="B198" i="90" l="1"/>
  <c r="F33" i="65"/>
  <c r="I33" i="65" s="1"/>
  <c r="U33" i="65" s="1"/>
  <c r="Y33" i="65" s="1"/>
  <c r="N35" i="99"/>
  <c r="N38" i="99" s="1"/>
  <c r="F59" i="65"/>
  <c r="I59" i="65" s="1"/>
  <c r="U59" i="65" s="1"/>
  <c r="Y59" i="65" s="1"/>
  <c r="AA33" i="65" s="1"/>
  <c r="C23" i="101"/>
  <c r="N22" i="101"/>
  <c r="O22" i="101" s="1"/>
  <c r="P22" i="101" s="1"/>
  <c r="C30" i="102"/>
  <c r="N29" i="102"/>
  <c r="O29" i="102" s="1"/>
  <c r="P29" i="102" s="1"/>
  <c r="C23" i="99"/>
  <c r="N22" i="99"/>
  <c r="O22" i="99" s="1"/>
  <c r="P22" i="99" s="1"/>
  <c r="AB33" i="65" l="1"/>
  <c r="AD33" i="65" s="1"/>
  <c r="AB34" i="65"/>
  <c r="AD34" i="65" s="1"/>
  <c r="AA59" i="65"/>
  <c r="AB59" i="65" s="1"/>
  <c r="AD59" i="65" s="1"/>
  <c r="C24" i="101"/>
  <c r="N23" i="101"/>
  <c r="O23" i="101" s="1"/>
  <c r="C31" i="102"/>
  <c r="N30" i="102"/>
  <c r="O30" i="102" s="1"/>
  <c r="C24" i="99"/>
  <c r="N23" i="99"/>
  <c r="O23" i="99" s="1"/>
  <c r="M33" i="45"/>
  <c r="I50" i="45"/>
  <c r="F22" i="45"/>
  <c r="J52" i="93"/>
  <c r="N52" i="93" s="1"/>
  <c r="N34" i="93"/>
  <c r="G14" i="98"/>
  <c r="N31" i="102" l="1"/>
  <c r="O31" i="102" s="1"/>
  <c r="P31" i="102" s="1"/>
  <c r="P32" i="102" s="1"/>
  <c r="C25" i="101"/>
  <c r="N24" i="101"/>
  <c r="O24" i="101" s="1"/>
  <c r="C25" i="99"/>
  <c r="N24" i="99"/>
  <c r="O24" i="99" s="1"/>
  <c r="J53" i="36"/>
  <c r="H50" i="96"/>
  <c r="G60" i="98"/>
  <c r="H62" i="98" s="1"/>
  <c r="K51" i="98"/>
  <c r="D51" i="98"/>
  <c r="M25" i="98"/>
  <c r="J22" i="98"/>
  <c r="G20" i="98"/>
  <c r="L20" i="98" s="1"/>
  <c r="D17" i="98"/>
  <c r="D18" i="98" s="1"/>
  <c r="D19" i="98" s="1"/>
  <c r="D20" i="98" s="1"/>
  <c r="D21" i="98" s="1"/>
  <c r="C17" i="98"/>
  <c r="C18" i="98" s="1"/>
  <c r="C19" i="98" s="1"/>
  <c r="C20" i="98" s="1"/>
  <c r="C21" i="98" s="1"/>
  <c r="C22" i="98" s="1"/>
  <c r="C23" i="98" s="1"/>
  <c r="C24" i="98" s="1"/>
  <c r="C25" i="98" s="1"/>
  <c r="C26" i="98" s="1"/>
  <c r="C27" i="98" s="1"/>
  <c r="C28" i="98" s="1"/>
  <c r="C29" i="98" s="1"/>
  <c r="C30" i="98" s="1"/>
  <c r="C31" i="98" s="1"/>
  <c r="H48" i="98"/>
  <c r="L8" i="98"/>
  <c r="L7" i="98"/>
  <c r="N51" i="98" l="1"/>
  <c r="N52" i="98"/>
  <c r="N29" i="98"/>
  <c r="O29" i="98" s="1"/>
  <c r="O32" i="102"/>
  <c r="O34" i="102" s="1"/>
  <c r="K19" i="98"/>
  <c r="K20" i="98"/>
  <c r="L32" i="98"/>
  <c r="K26" i="98"/>
  <c r="I50" i="96"/>
  <c r="M62" i="96" s="1"/>
  <c r="C26" i="101"/>
  <c r="N25" i="101"/>
  <c r="O25" i="101" s="1"/>
  <c r="C26" i="99"/>
  <c r="N25" i="99"/>
  <c r="O25" i="99" s="1"/>
  <c r="J26" i="98"/>
  <c r="J19" i="98"/>
  <c r="D22" i="98"/>
  <c r="D23" i="98" s="1"/>
  <c r="D24" i="98" s="1"/>
  <c r="D25" i="98" s="1"/>
  <c r="D26" i="98" s="1"/>
  <c r="D27" i="98" s="1"/>
  <c r="D28" i="98" s="1"/>
  <c r="D29" i="98" s="1"/>
  <c r="D30" i="98" s="1"/>
  <c r="D31" i="98" s="1"/>
  <c r="I48" i="98"/>
  <c r="N28" i="98"/>
  <c r="N31" i="98"/>
  <c r="O31" i="98" s="1"/>
  <c r="N24" i="98"/>
  <c r="N17" i="98"/>
  <c r="N27" i="98"/>
  <c r="O27" i="98" s="1"/>
  <c r="J20" i="98"/>
  <c r="N21" i="98"/>
  <c r="O21" i="98" s="1"/>
  <c r="N22" i="98"/>
  <c r="N18" i="98"/>
  <c r="J23" i="98"/>
  <c r="N23" i="98" s="1"/>
  <c r="N30" i="98"/>
  <c r="O30" i="98" s="1"/>
  <c r="M32" i="98"/>
  <c r="N34" i="98" s="1"/>
  <c r="E17" i="65" l="1"/>
  <c r="F81" i="89" s="1"/>
  <c r="O22" i="98"/>
  <c r="N26" i="98"/>
  <c r="O26" i="98" s="1"/>
  <c r="N53" i="98"/>
  <c r="N25" i="98"/>
  <c r="O25" i="98" s="1"/>
  <c r="Q32" i="102"/>
  <c r="K32" i="98"/>
  <c r="N36" i="98" s="1"/>
  <c r="N19" i="98"/>
  <c r="J32" i="98"/>
  <c r="N20" i="98"/>
  <c r="C27" i="101"/>
  <c r="N26" i="101"/>
  <c r="O26" i="101" s="1"/>
  <c r="C27" i="99"/>
  <c r="N26" i="99"/>
  <c r="O26" i="99" s="1"/>
  <c r="O28" i="98"/>
  <c r="O24" i="98"/>
  <c r="O18" i="98"/>
  <c r="O23" i="98"/>
  <c r="O35" i="98"/>
  <c r="O17" i="98"/>
  <c r="H17" i="65" l="1"/>
  <c r="F77" i="89" s="1"/>
  <c r="N33" i="98"/>
  <c r="O34" i="98"/>
  <c r="J34" i="98"/>
  <c r="C28" i="101"/>
  <c r="N27" i="101"/>
  <c r="O27" i="101" s="1"/>
  <c r="C28" i="99"/>
  <c r="N27" i="99"/>
  <c r="O27" i="99" s="1"/>
  <c r="O33" i="98"/>
  <c r="N35" i="98" l="1"/>
  <c r="N38" i="98" s="1"/>
  <c r="D17" i="65"/>
  <c r="O37" i="98"/>
  <c r="O36" i="98"/>
  <c r="C29" i="101"/>
  <c r="N28" i="101"/>
  <c r="O28" i="101" s="1"/>
  <c r="C29" i="99"/>
  <c r="N28" i="99"/>
  <c r="O28" i="99" s="1"/>
  <c r="P33" i="98"/>
  <c r="O38" i="98" l="1"/>
  <c r="F74" i="89"/>
  <c r="F17" i="65"/>
  <c r="I17" i="65" s="1"/>
  <c r="U17" i="65" s="1"/>
  <c r="Y17" i="65" s="1"/>
  <c r="C30" i="101"/>
  <c r="N29" i="101"/>
  <c r="O29" i="101" s="1"/>
  <c r="P29" i="101" s="1"/>
  <c r="C30" i="99"/>
  <c r="N29" i="99"/>
  <c r="M30" i="58"/>
  <c r="L34" i="58"/>
  <c r="N35" i="58" s="1"/>
  <c r="M31" i="58"/>
  <c r="M28" i="58"/>
  <c r="M27" i="58"/>
  <c r="M26" i="58"/>
  <c r="M25" i="58"/>
  <c r="M24" i="58"/>
  <c r="M23" i="58"/>
  <c r="M22" i="58"/>
  <c r="M21" i="58"/>
  <c r="M20" i="58"/>
  <c r="M19" i="58"/>
  <c r="M17" i="58"/>
  <c r="T14" i="58"/>
  <c r="C31" i="101" l="1"/>
  <c r="N30" i="101"/>
  <c r="O30" i="101" s="1"/>
  <c r="C31" i="99"/>
  <c r="N30" i="99"/>
  <c r="O30" i="99" s="1"/>
  <c r="F178" i="90"/>
  <c r="F102" i="90"/>
  <c r="F101" i="90"/>
  <c r="H116" i="90"/>
  <c r="F116" i="90"/>
  <c r="N31" i="99" l="1"/>
  <c r="O31" i="99" s="1"/>
  <c r="P31" i="99" s="1"/>
  <c r="N31" i="101"/>
  <c r="O31" i="101" s="1"/>
  <c r="P31" i="101" s="1"/>
  <c r="P32" i="101" s="1"/>
  <c r="G179" i="90"/>
  <c r="G117" i="90"/>
  <c r="Q14" i="75"/>
  <c r="T14" i="75" s="1"/>
  <c r="O32" i="101" l="1"/>
  <c r="O34" i="101" s="1"/>
  <c r="D14" i="97"/>
  <c r="Q32" i="101" l="1"/>
  <c r="L33" i="97"/>
  <c r="M19" i="97"/>
  <c r="M17" i="97"/>
  <c r="M31" i="97"/>
  <c r="M23" i="97"/>
  <c r="Q14" i="88" l="1"/>
  <c r="T14" i="88" s="1"/>
  <c r="G18" i="73" l="1"/>
  <c r="M18" i="97"/>
  <c r="C18" i="88"/>
  <c r="G58" i="97"/>
  <c r="H60" i="97" s="1"/>
  <c r="J52" i="97"/>
  <c r="K51" i="97"/>
  <c r="J51" i="97"/>
  <c r="I32" i="97"/>
  <c r="G31" i="97"/>
  <c r="L31" i="97" s="1"/>
  <c r="G30" i="97"/>
  <c r="L30" i="97" s="1"/>
  <c r="G29" i="97"/>
  <c r="L29" i="97" s="1"/>
  <c r="G28" i="97"/>
  <c r="L28" i="97" s="1"/>
  <c r="M27" i="97"/>
  <c r="G27" i="97"/>
  <c r="G26" i="97"/>
  <c r="M25" i="97"/>
  <c r="G25" i="97"/>
  <c r="R24" i="97"/>
  <c r="M24" i="97"/>
  <c r="G24" i="97"/>
  <c r="G23" i="97"/>
  <c r="L23" i="97" s="1"/>
  <c r="G22" i="97"/>
  <c r="L22" i="97" s="1"/>
  <c r="M21" i="97"/>
  <c r="G21" i="97"/>
  <c r="L21" i="97" s="1"/>
  <c r="M20" i="97"/>
  <c r="G20" i="97"/>
  <c r="K20" i="97" s="1"/>
  <c r="G19" i="97"/>
  <c r="G18" i="97"/>
  <c r="L18" i="97" s="1"/>
  <c r="G17" i="97"/>
  <c r="D18" i="97"/>
  <c r="D19" i="97" s="1"/>
  <c r="D20" i="97" s="1"/>
  <c r="D21" i="97" s="1"/>
  <c r="D22" i="97" s="1"/>
  <c r="D23" i="97" s="1"/>
  <c r="D24" i="97" s="1"/>
  <c r="D25" i="97" s="1"/>
  <c r="D26" i="97" s="1"/>
  <c r="D27" i="97" s="1"/>
  <c r="D28" i="97" s="1"/>
  <c r="D29" i="97" s="1"/>
  <c r="D30" i="97" s="1"/>
  <c r="D31" i="97" s="1"/>
  <c r="C18" i="97"/>
  <c r="C19" i="97" s="1"/>
  <c r="C20" i="97" s="1"/>
  <c r="C21" i="97" s="1"/>
  <c r="C22" i="97" s="1"/>
  <c r="C23" i="97" s="1"/>
  <c r="C24" i="97" s="1"/>
  <c r="C25" i="97" s="1"/>
  <c r="C26" i="97" s="1"/>
  <c r="C27" i="97" s="1"/>
  <c r="C28" i="97" s="1"/>
  <c r="C29" i="97" s="1"/>
  <c r="C30" i="97" s="1"/>
  <c r="C31" i="97" s="1"/>
  <c r="Q14" i="97"/>
  <c r="T14" i="97" s="1"/>
  <c r="G14" i="97"/>
  <c r="M30" i="97"/>
  <c r="M8" i="97"/>
  <c r="M7" i="97"/>
  <c r="H63" i="96"/>
  <c r="N36" i="96" s="1"/>
  <c r="H62" i="65" s="1"/>
  <c r="G28" i="96"/>
  <c r="G24" i="96"/>
  <c r="L24" i="96" s="1"/>
  <c r="R23" i="96"/>
  <c r="G22" i="96"/>
  <c r="G21" i="96"/>
  <c r="G19" i="96"/>
  <c r="G17" i="96"/>
  <c r="C17" i="96"/>
  <c r="Q13" i="96"/>
  <c r="T13" i="96" s="1"/>
  <c r="M7" i="96"/>
  <c r="M6" i="96"/>
  <c r="K28" i="96" l="1"/>
  <c r="K21" i="96"/>
  <c r="J17" i="96"/>
  <c r="K17" i="96"/>
  <c r="K22" i="96"/>
  <c r="L31" i="96"/>
  <c r="J28" i="96"/>
  <c r="J21" i="96"/>
  <c r="C19" i="88"/>
  <c r="C18" i="96"/>
  <c r="K17" i="97"/>
  <c r="L17" i="97"/>
  <c r="J24" i="97"/>
  <c r="L24" i="97"/>
  <c r="J25" i="97"/>
  <c r="L25" i="97"/>
  <c r="J30" i="97"/>
  <c r="K30" i="97"/>
  <c r="K28" i="97"/>
  <c r="J29" i="97"/>
  <c r="J25" i="96"/>
  <c r="K21" i="97"/>
  <c r="K29" i="97"/>
  <c r="J26" i="97"/>
  <c r="K26" i="97"/>
  <c r="J19" i="97"/>
  <c r="J23" i="97"/>
  <c r="K27" i="97"/>
  <c r="J22" i="97"/>
  <c r="J20" i="97"/>
  <c r="O20" i="97" s="1"/>
  <c r="K19" i="97"/>
  <c r="J31" i="97"/>
  <c r="J27" i="97"/>
  <c r="K31" i="97"/>
  <c r="J17" i="97"/>
  <c r="O17" i="97" s="1"/>
  <c r="K19" i="96"/>
  <c r="J22" i="96"/>
  <c r="K24" i="96"/>
  <c r="K23" i="96"/>
  <c r="D17" i="96"/>
  <c r="K25" i="97"/>
  <c r="O25" i="97" s="1"/>
  <c r="K18" i="97"/>
  <c r="K22" i="97"/>
  <c r="K23" i="97"/>
  <c r="K24" i="97"/>
  <c r="O24" i="97" s="1"/>
  <c r="J18" i="97"/>
  <c r="J21" i="97"/>
  <c r="M22" i="97"/>
  <c r="J28" i="97"/>
  <c r="N33" i="97"/>
  <c r="H48" i="97"/>
  <c r="N51" i="97" s="1"/>
  <c r="M28" i="97"/>
  <c r="M29" i="97"/>
  <c r="J19" i="96"/>
  <c r="M21" i="96"/>
  <c r="J24" i="96"/>
  <c r="G23" i="81"/>
  <c r="G23" i="82"/>
  <c r="G58" i="95"/>
  <c r="H60" i="95" s="1"/>
  <c r="K51" i="95"/>
  <c r="J51" i="95"/>
  <c r="G29" i="95"/>
  <c r="G28" i="95"/>
  <c r="G25" i="95"/>
  <c r="R24" i="95"/>
  <c r="G23" i="95"/>
  <c r="G21" i="95"/>
  <c r="G18" i="95"/>
  <c r="G17" i="95"/>
  <c r="D18" i="95"/>
  <c r="D19" i="95" s="1"/>
  <c r="D20" i="95" s="1"/>
  <c r="D21" i="95" s="1"/>
  <c r="D22" i="95" s="1"/>
  <c r="D23" i="95" s="1"/>
  <c r="D24" i="95" s="1"/>
  <c r="D25" i="95" s="1"/>
  <c r="D26" i="95" s="1"/>
  <c r="D27" i="95" s="1"/>
  <c r="D28" i="95" s="1"/>
  <c r="D29" i="95" s="1"/>
  <c r="D30" i="95" s="1"/>
  <c r="D31" i="95" s="1"/>
  <c r="C18" i="95"/>
  <c r="Q14" i="95"/>
  <c r="T14" i="95" s="1"/>
  <c r="M8" i="95"/>
  <c r="M7" i="95"/>
  <c r="Q14" i="67"/>
  <c r="T14" i="67" s="1"/>
  <c r="J52" i="94"/>
  <c r="Q13" i="94"/>
  <c r="T13" i="94" s="1"/>
  <c r="G20" i="75"/>
  <c r="L20" i="75" s="1"/>
  <c r="G20" i="68"/>
  <c r="K21" i="95" l="1"/>
  <c r="K28" i="95"/>
  <c r="L32" i="95"/>
  <c r="O30" i="97"/>
  <c r="N55" i="96"/>
  <c r="AB48" i="65"/>
  <c r="AD48" i="65" s="1"/>
  <c r="N16" i="96"/>
  <c r="O16" i="96" s="1"/>
  <c r="J28" i="95"/>
  <c r="J31" i="96"/>
  <c r="K31" i="96"/>
  <c r="N35" i="96" s="1"/>
  <c r="N17" i="96"/>
  <c r="K17" i="95"/>
  <c r="J17" i="95"/>
  <c r="C19" i="95"/>
  <c r="C20" i="88"/>
  <c r="C19" i="96"/>
  <c r="N18" i="96"/>
  <c r="O21" i="97"/>
  <c r="P21" i="97" s="1"/>
  <c r="O19" i="97"/>
  <c r="K25" i="95"/>
  <c r="J25" i="95"/>
  <c r="L32" i="97"/>
  <c r="K18" i="95"/>
  <c r="J18" i="95"/>
  <c r="O31" i="97"/>
  <c r="N52" i="97"/>
  <c r="O27" i="97"/>
  <c r="P27" i="97" s="1"/>
  <c r="J20" i="75"/>
  <c r="J23" i="81"/>
  <c r="O29" i="97"/>
  <c r="O26" i="97"/>
  <c r="O22" i="97"/>
  <c r="K22" i="95"/>
  <c r="J29" i="95"/>
  <c r="J23" i="95"/>
  <c r="K32" i="97"/>
  <c r="N36" i="97" s="1"/>
  <c r="O28" i="97"/>
  <c r="D18" i="96"/>
  <c r="D19" i="96" s="1"/>
  <c r="D20" i="96" s="1"/>
  <c r="J32" i="97"/>
  <c r="J34" i="97" s="1"/>
  <c r="I48" i="97"/>
  <c r="M32" i="97"/>
  <c r="N34" i="97" s="1"/>
  <c r="N35" i="97" s="1"/>
  <c r="K29" i="95"/>
  <c r="J22" i="95"/>
  <c r="K23" i="95"/>
  <c r="J19" i="95"/>
  <c r="J21" i="95"/>
  <c r="N33" i="95"/>
  <c r="D29" i="65" s="1"/>
  <c r="H48" i="95"/>
  <c r="N52" i="95" s="1"/>
  <c r="G14" i="95"/>
  <c r="N51" i="95" l="1"/>
  <c r="F29" i="65"/>
  <c r="B74" i="89"/>
  <c r="K32" i="95"/>
  <c r="J33" i="96"/>
  <c r="J32" i="95"/>
  <c r="N18" i="95"/>
  <c r="N17" i="95"/>
  <c r="C20" i="95"/>
  <c r="N19" i="95"/>
  <c r="O19" i="95" s="1"/>
  <c r="C21" i="88"/>
  <c r="C20" i="96"/>
  <c r="N19" i="96"/>
  <c r="O19" i="96" s="1"/>
  <c r="D21" i="96"/>
  <c r="D22" i="96" s="1"/>
  <c r="D23" i="96" s="1"/>
  <c r="D24" i="96" s="1"/>
  <c r="D25" i="96" s="1"/>
  <c r="D26" i="96" s="1"/>
  <c r="D27" i="96" s="1"/>
  <c r="D28" i="96" s="1"/>
  <c r="D29" i="96" s="1"/>
  <c r="D30" i="96" s="1"/>
  <c r="N38" i="97"/>
  <c r="O33" i="97"/>
  <c r="O32" i="97"/>
  <c r="O23" i="97"/>
  <c r="N53" i="97"/>
  <c r="O18" i="96"/>
  <c r="I48" i="95"/>
  <c r="N35" i="95"/>
  <c r="D178" i="89"/>
  <c r="F84" i="89"/>
  <c r="B208" i="90"/>
  <c r="F54" i="90"/>
  <c r="B84" i="90"/>
  <c r="G29" i="65" l="1"/>
  <c r="N53" i="95"/>
  <c r="H29" i="65" s="1"/>
  <c r="B77" i="89" s="1"/>
  <c r="J34" i="95"/>
  <c r="M31" i="96"/>
  <c r="N33" i="96" s="1"/>
  <c r="C21" i="95"/>
  <c r="N20" i="95"/>
  <c r="O20" i="95" s="1"/>
  <c r="C22" i="88"/>
  <c r="C21" i="96"/>
  <c r="N20" i="96"/>
  <c r="O20" i="96" s="1"/>
  <c r="P20" i="96" s="1"/>
  <c r="O34" i="97"/>
  <c r="O17" i="95"/>
  <c r="E62" i="65" l="1"/>
  <c r="F62" i="65" s="1"/>
  <c r="I62" i="65" s="1"/>
  <c r="U62" i="65" s="1"/>
  <c r="Y62" i="65" s="1"/>
  <c r="B76" i="89"/>
  <c r="B84" i="89" s="1"/>
  <c r="I29" i="65"/>
  <c r="U29" i="65" s="1"/>
  <c r="Y29" i="65" s="1"/>
  <c r="C22" i="95"/>
  <c r="N21" i="95"/>
  <c r="C23" i="88"/>
  <c r="C22" i="96"/>
  <c r="N21" i="96"/>
  <c r="O21" i="96" s="1"/>
  <c r="D178" i="90"/>
  <c r="AA62" i="65" l="1"/>
  <c r="AB62" i="65" s="1"/>
  <c r="AD62" i="65" s="1"/>
  <c r="AA29" i="65"/>
  <c r="N34" i="96"/>
  <c r="C23" i="95"/>
  <c r="N22" i="95"/>
  <c r="O22" i="95" s="1"/>
  <c r="O21" i="95"/>
  <c r="P21" i="95" s="1"/>
  <c r="C24" i="88"/>
  <c r="C23" i="96"/>
  <c r="N22" i="96"/>
  <c r="O22" i="96" l="1"/>
  <c r="C24" i="95"/>
  <c r="N23" i="95"/>
  <c r="O23" i="95" s="1"/>
  <c r="C25" i="88"/>
  <c r="C24" i="96"/>
  <c r="N23" i="96"/>
  <c r="O23" i="96" s="1"/>
  <c r="N37" i="96" l="1"/>
  <c r="AB51" i="65"/>
  <c r="AD51" i="65" s="1"/>
  <c r="C25" i="95"/>
  <c r="N24" i="95"/>
  <c r="O24" i="95" s="1"/>
  <c r="C26" i="88"/>
  <c r="C25" i="96"/>
  <c r="N24" i="96"/>
  <c r="AB50" i="65" l="1"/>
  <c r="AD50" i="65" s="1"/>
  <c r="C26" i="95"/>
  <c r="N25" i="95"/>
  <c r="O25" i="95" s="1"/>
  <c r="C27" i="88"/>
  <c r="O24" i="96"/>
  <c r="C26" i="96"/>
  <c r="N25" i="96"/>
  <c r="O25" i="96" s="1"/>
  <c r="C27" i="95" l="1"/>
  <c r="N26" i="95"/>
  <c r="O26" i="95" s="1"/>
  <c r="C28" i="88"/>
  <c r="C27" i="96"/>
  <c r="N26" i="96"/>
  <c r="O26" i="96" s="1"/>
  <c r="P26" i="96" s="1"/>
  <c r="G29" i="82"/>
  <c r="J29" i="82" s="1"/>
  <c r="F17" i="45"/>
  <c r="K17" i="45" s="1"/>
  <c r="F20" i="45"/>
  <c r="K20" i="45" s="1"/>
  <c r="C28" i="95" l="1"/>
  <c r="N27" i="95"/>
  <c r="O27" i="95" s="1"/>
  <c r="P27" i="95" s="1"/>
  <c r="C29" i="88"/>
  <c r="C28" i="96"/>
  <c r="N27" i="96"/>
  <c r="O27" i="96" s="1"/>
  <c r="D14" i="36"/>
  <c r="D14" i="69"/>
  <c r="M26" i="69" s="1"/>
  <c r="C18" i="82"/>
  <c r="M8" i="74"/>
  <c r="M7" i="74"/>
  <c r="M8" i="73"/>
  <c r="M7" i="73"/>
  <c r="M8" i="75"/>
  <c r="M7" i="75"/>
  <c r="L8" i="58"/>
  <c r="L7" i="58"/>
  <c r="M8" i="68"/>
  <c r="M7" i="68"/>
  <c r="M8" i="80"/>
  <c r="M7" i="80"/>
  <c r="M8" i="82"/>
  <c r="M7" i="82"/>
  <c r="M8" i="81"/>
  <c r="M7" i="81"/>
  <c r="M8" i="67"/>
  <c r="M7" i="67"/>
  <c r="L7" i="45"/>
  <c r="M8" i="88"/>
  <c r="M7" i="88"/>
  <c r="M8" i="69"/>
  <c r="M7" i="69"/>
  <c r="L6" i="55"/>
  <c r="L5" i="55"/>
  <c r="L7" i="93"/>
  <c r="L6" i="93"/>
  <c r="L7" i="94"/>
  <c r="L6" i="94"/>
  <c r="L8" i="36"/>
  <c r="L7" i="36"/>
  <c r="G61" i="94"/>
  <c r="H63" i="94" s="1"/>
  <c r="M52" i="94"/>
  <c r="K52" i="94"/>
  <c r="H49" i="94"/>
  <c r="N53" i="94" s="1"/>
  <c r="D16" i="94"/>
  <c r="D17" i="94" s="1"/>
  <c r="D18" i="94" s="1"/>
  <c r="C16" i="94"/>
  <c r="C17" i="94" s="1"/>
  <c r="C18" i="94" s="1"/>
  <c r="C19" i="94" s="1"/>
  <c r="C20" i="94" s="1"/>
  <c r="G60" i="93"/>
  <c r="H62" i="93" s="1"/>
  <c r="M52" i="93"/>
  <c r="K52" i="93"/>
  <c r="D52" i="93"/>
  <c r="H49" i="93"/>
  <c r="N33" i="93"/>
  <c r="N35" i="93" s="1"/>
  <c r="I32" i="93"/>
  <c r="G28" i="93"/>
  <c r="G27" i="93"/>
  <c r="L27" i="93" s="1"/>
  <c r="G25" i="93"/>
  <c r="L25" i="93" s="1"/>
  <c r="G24" i="93"/>
  <c r="G22" i="93"/>
  <c r="L22" i="93" s="1"/>
  <c r="G21" i="93"/>
  <c r="M20" i="93"/>
  <c r="G20" i="93"/>
  <c r="L20" i="93" s="1"/>
  <c r="J19" i="93"/>
  <c r="G18" i="93"/>
  <c r="L18" i="93" s="1"/>
  <c r="G17" i="93"/>
  <c r="D16" i="93"/>
  <c r="D17" i="93" s="1"/>
  <c r="D18" i="93" s="1"/>
  <c r="D19" i="93" s="1"/>
  <c r="D20" i="93" s="1"/>
  <c r="D21" i="93" s="1"/>
  <c r="D22" i="93" s="1"/>
  <c r="D23" i="93" s="1"/>
  <c r="D24" i="93" s="1"/>
  <c r="D25" i="93" s="1"/>
  <c r="D26" i="93" s="1"/>
  <c r="D27" i="93" s="1"/>
  <c r="D28" i="93" s="1"/>
  <c r="D29" i="93" s="1"/>
  <c r="D30" i="93" s="1"/>
  <c r="C16" i="93"/>
  <c r="C17" i="93" s="1"/>
  <c r="C18" i="93" s="1"/>
  <c r="C19" i="93" s="1"/>
  <c r="C20" i="93" s="1"/>
  <c r="C21" i="93" s="1"/>
  <c r="C22" i="93" s="1"/>
  <c r="C23" i="93" s="1"/>
  <c r="C24" i="93" s="1"/>
  <c r="C25" i="93" s="1"/>
  <c r="C26" i="93" s="1"/>
  <c r="C27" i="93" s="1"/>
  <c r="C28" i="93" s="1"/>
  <c r="C29" i="93" s="1"/>
  <c r="C30" i="93" s="1"/>
  <c r="G13" i="93"/>
  <c r="G60" i="92"/>
  <c r="H62" i="92" s="1"/>
  <c r="K51" i="92"/>
  <c r="J51" i="92"/>
  <c r="H48" i="92"/>
  <c r="N52" i="92" s="1"/>
  <c r="G30" i="92"/>
  <c r="L30" i="92" s="1"/>
  <c r="G29" i="92"/>
  <c r="M24" i="92"/>
  <c r="G23" i="92"/>
  <c r="L23" i="92" s="1"/>
  <c r="G22" i="92"/>
  <c r="G21" i="92"/>
  <c r="L21" i="92" s="1"/>
  <c r="G20" i="92"/>
  <c r="G18" i="92"/>
  <c r="D18" i="92"/>
  <c r="D19" i="92" s="1"/>
  <c r="D20" i="92" s="1"/>
  <c r="D21" i="92" s="1"/>
  <c r="C17" i="92"/>
  <c r="C18" i="92" s="1"/>
  <c r="C19" i="92" s="1"/>
  <c r="C20" i="92" s="1"/>
  <c r="C21" i="92" s="1"/>
  <c r="C22" i="92" s="1"/>
  <c r="C23" i="92" s="1"/>
  <c r="C24" i="92" s="1"/>
  <c r="C25" i="92" s="1"/>
  <c r="C26" i="92" s="1"/>
  <c r="C27" i="92" s="1"/>
  <c r="C28" i="92" s="1"/>
  <c r="C29" i="92" s="1"/>
  <c r="C21" i="94" l="1"/>
  <c r="C22" i="94" s="1"/>
  <c r="C23" i="94" s="1"/>
  <c r="C24" i="94" s="1"/>
  <c r="C25" i="94" s="1"/>
  <c r="C26" i="94" s="1"/>
  <c r="C27" i="94" s="1"/>
  <c r="C28" i="94" s="1"/>
  <c r="C30" i="92"/>
  <c r="L32" i="92"/>
  <c r="K28" i="93"/>
  <c r="L28" i="93"/>
  <c r="K21" i="93"/>
  <c r="L21" i="93"/>
  <c r="C19" i="82"/>
  <c r="C29" i="95"/>
  <c r="N28" i="95"/>
  <c r="O28" i="95" s="1"/>
  <c r="C30" i="88"/>
  <c r="C31" i="88" s="1"/>
  <c r="C29" i="96"/>
  <c r="N28" i="96"/>
  <c r="O28" i="96" s="1"/>
  <c r="L31" i="94"/>
  <c r="M18" i="68"/>
  <c r="J20" i="92"/>
  <c r="M19" i="74"/>
  <c r="M29" i="74"/>
  <c r="M18" i="74"/>
  <c r="M28" i="74"/>
  <c r="M17" i="74"/>
  <c r="M22" i="74"/>
  <c r="M26" i="74"/>
  <c r="M25" i="74"/>
  <c r="M23" i="74"/>
  <c r="J30" i="92"/>
  <c r="I48" i="92"/>
  <c r="J19" i="94"/>
  <c r="K19" i="94"/>
  <c r="M26" i="80"/>
  <c r="M23" i="36"/>
  <c r="L34" i="36"/>
  <c r="M27" i="36"/>
  <c r="M23" i="92"/>
  <c r="M17" i="92"/>
  <c r="J17" i="93"/>
  <c r="K21" i="94"/>
  <c r="O25" i="92"/>
  <c r="K25" i="93"/>
  <c r="J18" i="93"/>
  <c r="D22" i="92"/>
  <c r="D23" i="92" s="1"/>
  <c r="D24" i="92" s="1"/>
  <c r="D25" i="92" s="1"/>
  <c r="D26" i="92" s="1"/>
  <c r="D27" i="92" s="1"/>
  <c r="D28" i="92" s="1"/>
  <c r="D29" i="92" s="1"/>
  <c r="D30" i="92" s="1"/>
  <c r="D31" i="92" s="1"/>
  <c r="J25" i="94"/>
  <c r="J26" i="92"/>
  <c r="N26" i="92" s="1"/>
  <c r="J21" i="92"/>
  <c r="N21" i="92" s="1"/>
  <c r="N52" i="94"/>
  <c r="N54" i="94" s="1"/>
  <c r="N32" i="94" s="1"/>
  <c r="J20" i="93"/>
  <c r="N24" i="92"/>
  <c r="O24" i="92" s="1"/>
  <c r="D19" i="94"/>
  <c r="D20" i="94" s="1"/>
  <c r="J22" i="93"/>
  <c r="K27" i="93"/>
  <c r="J21" i="94"/>
  <c r="M20" i="68"/>
  <c r="M17" i="69"/>
  <c r="G14" i="75"/>
  <c r="M17" i="93"/>
  <c r="M29" i="69"/>
  <c r="M29" i="73"/>
  <c r="G13" i="94"/>
  <c r="N20" i="94" s="1"/>
  <c r="L30" i="45"/>
  <c r="N35" i="36"/>
  <c r="J21" i="93"/>
  <c r="J24" i="93"/>
  <c r="J24" i="94"/>
  <c r="M24" i="69"/>
  <c r="M18" i="69"/>
  <c r="L34" i="69"/>
  <c r="M20" i="69"/>
  <c r="M25" i="69"/>
  <c r="M28" i="69"/>
  <c r="M27" i="69"/>
  <c r="M31" i="69"/>
  <c r="M19" i="69"/>
  <c r="M21" i="69"/>
  <c r="N38" i="55"/>
  <c r="M22" i="69"/>
  <c r="K17" i="93"/>
  <c r="K18" i="93"/>
  <c r="N19" i="93"/>
  <c r="K20" i="93"/>
  <c r="N27" i="92"/>
  <c r="N51" i="92"/>
  <c r="N53" i="92" s="1"/>
  <c r="D16" i="65" s="1"/>
  <c r="N30" i="93"/>
  <c r="K16" i="93"/>
  <c r="N17" i="92"/>
  <c r="I49" i="94"/>
  <c r="N57" i="94" s="1"/>
  <c r="N58" i="94" s="1"/>
  <c r="J28" i="94"/>
  <c r="J25" i="93"/>
  <c r="J27" i="93"/>
  <c r="K22" i="93"/>
  <c r="K24" i="93"/>
  <c r="I49" i="93"/>
  <c r="N26" i="93"/>
  <c r="J28" i="93"/>
  <c r="J18" i="92"/>
  <c r="N18" i="92" s="1"/>
  <c r="J22" i="92"/>
  <c r="N22" i="92" s="1"/>
  <c r="J23" i="92"/>
  <c r="N23" i="92" s="1"/>
  <c r="N28" i="92"/>
  <c r="J29" i="92"/>
  <c r="N29" i="92" s="1"/>
  <c r="J19" i="92"/>
  <c r="N21" i="93" l="1"/>
  <c r="H18" i="65"/>
  <c r="F15" i="90" s="1"/>
  <c r="N28" i="93"/>
  <c r="B168" i="89"/>
  <c r="D18" i="65"/>
  <c r="O23" i="92"/>
  <c r="N27" i="93"/>
  <c r="O29" i="92"/>
  <c r="C29" i="94"/>
  <c r="N28" i="94"/>
  <c r="C31" i="92"/>
  <c r="N31" i="92" s="1"/>
  <c r="O31" i="92" s="1"/>
  <c r="N30" i="92"/>
  <c r="O30" i="92" s="1"/>
  <c r="AB52" i="65"/>
  <c r="AD52" i="65" s="1"/>
  <c r="M32" i="92"/>
  <c r="N34" i="92" s="1"/>
  <c r="K31" i="94"/>
  <c r="N35" i="94" s="1"/>
  <c r="N19" i="92"/>
  <c r="J32" i="92"/>
  <c r="J34" i="92" s="1"/>
  <c r="C20" i="82"/>
  <c r="C30" i="95"/>
  <c r="N29" i="95"/>
  <c r="O29" i="95" s="1"/>
  <c r="C30" i="96"/>
  <c r="N29" i="96"/>
  <c r="O29" i="96" s="1"/>
  <c r="N25" i="93"/>
  <c r="O21" i="92"/>
  <c r="O26" i="92"/>
  <c r="N17" i="93"/>
  <c r="N18" i="93"/>
  <c r="D21" i="94"/>
  <c r="D22" i="94" s="1"/>
  <c r="D23" i="94" s="1"/>
  <c r="D24" i="94" s="1"/>
  <c r="D25" i="94" s="1"/>
  <c r="D26" i="94" s="1"/>
  <c r="D27" i="94" s="1"/>
  <c r="D28" i="94" s="1"/>
  <c r="D29" i="94" s="1"/>
  <c r="D30" i="94" s="1"/>
  <c r="N53" i="93"/>
  <c r="N37" i="93" s="1"/>
  <c r="N20" i="93"/>
  <c r="N25" i="94"/>
  <c r="N22" i="94"/>
  <c r="N21" i="94"/>
  <c r="O28" i="92"/>
  <c r="O22" i="92"/>
  <c r="N24" i="93"/>
  <c r="N22" i="93"/>
  <c r="N27" i="94"/>
  <c r="N23" i="94"/>
  <c r="N29" i="93"/>
  <c r="N17" i="94"/>
  <c r="N24" i="94"/>
  <c r="M32" i="93"/>
  <c r="N18" i="94"/>
  <c r="N16" i="94"/>
  <c r="N23" i="93"/>
  <c r="N16" i="93"/>
  <c r="N19" i="94"/>
  <c r="N26" i="94"/>
  <c r="O18" i="92"/>
  <c r="L32" i="93"/>
  <c r="O27" i="92"/>
  <c r="N36" i="92"/>
  <c r="G16" i="65" s="1"/>
  <c r="J31" i="94"/>
  <c r="K32" i="93"/>
  <c r="N36" i="93" s="1"/>
  <c r="J32" i="93"/>
  <c r="J34" i="93" s="1"/>
  <c r="O17" i="92"/>
  <c r="N20" i="92"/>
  <c r="O35" i="92" l="1"/>
  <c r="E16" i="65"/>
  <c r="F18" i="65"/>
  <c r="I18" i="65" s="1"/>
  <c r="U18" i="65" s="1"/>
  <c r="Y18" i="65" s="1"/>
  <c r="AB18" i="65" s="1"/>
  <c r="AD18" i="65" s="1"/>
  <c r="F12" i="90"/>
  <c r="F22" i="90" s="1"/>
  <c r="C30" i="94"/>
  <c r="N30" i="94" s="1"/>
  <c r="N29" i="94"/>
  <c r="J33" i="94"/>
  <c r="N34" i="94" s="1"/>
  <c r="N37" i="94" s="1"/>
  <c r="N30" i="96"/>
  <c r="O30" i="96" s="1"/>
  <c r="O37" i="92"/>
  <c r="C21" i="82"/>
  <c r="C31" i="95"/>
  <c r="N30" i="95"/>
  <c r="O30" i="95" s="1"/>
  <c r="N38" i="93"/>
  <c r="O33" i="92"/>
  <c r="N35" i="92" l="1"/>
  <c r="B175" i="89"/>
  <c r="B178" i="89" s="1"/>
  <c r="F16" i="65"/>
  <c r="I16" i="65" s="1"/>
  <c r="U16" i="65" s="1"/>
  <c r="Y16" i="65" s="1"/>
  <c r="O34" i="92"/>
  <c r="O36" i="92" s="1"/>
  <c r="O38" i="92" s="1"/>
  <c r="N31" i="95"/>
  <c r="O33" i="95" s="1"/>
  <c r="O32" i="96"/>
  <c r="O31" i="96"/>
  <c r="N38" i="92"/>
  <c r="C22" i="82"/>
  <c r="P33" i="92"/>
  <c r="AB16" i="65" l="1"/>
  <c r="AD16" i="65" s="1"/>
  <c r="O33" i="96"/>
  <c r="O32" i="95"/>
  <c r="O34" i="95" s="1"/>
  <c r="O31" i="95"/>
  <c r="C23" i="82"/>
  <c r="D208" i="90"/>
  <c r="B164" i="90"/>
  <c r="B163" i="90"/>
  <c r="D146" i="90"/>
  <c r="H84" i="90"/>
  <c r="F70" i="90"/>
  <c r="F69" i="90"/>
  <c r="H54" i="90"/>
  <c r="D84" i="90"/>
  <c r="F40" i="90"/>
  <c r="F39" i="90"/>
  <c r="H22" i="90"/>
  <c r="D54" i="90"/>
  <c r="B54" i="90"/>
  <c r="F8" i="90"/>
  <c r="B40" i="90"/>
  <c r="B226" i="90" s="1"/>
  <c r="F7" i="90"/>
  <c r="D22" i="90"/>
  <c r="B22" i="90"/>
  <c r="D146" i="89"/>
  <c r="D116" i="89"/>
  <c r="H84" i="89"/>
  <c r="D84" i="89"/>
  <c r="H54" i="89"/>
  <c r="D54" i="89"/>
  <c r="H22" i="89"/>
  <c r="F22" i="89"/>
  <c r="D22" i="89"/>
  <c r="B22" i="89"/>
  <c r="B163" i="89"/>
  <c r="B39" i="89"/>
  <c r="B102" i="89"/>
  <c r="B101" i="89"/>
  <c r="F70" i="89"/>
  <c r="F69" i="89"/>
  <c r="F40" i="89"/>
  <c r="F39" i="89"/>
  <c r="F8" i="89"/>
  <c r="F7" i="89"/>
  <c r="B164" i="89"/>
  <c r="B132" i="89"/>
  <c r="B131" i="89"/>
  <c r="B69" i="89"/>
  <c r="B70" i="89"/>
  <c r="C24" i="82" l="1"/>
  <c r="G23" i="90"/>
  <c r="C179" i="89"/>
  <c r="G55" i="90"/>
  <c r="C23" i="90"/>
  <c r="C55" i="90"/>
  <c r="C85" i="90"/>
  <c r="G85" i="89"/>
  <c r="C85" i="89"/>
  <c r="C209" i="90"/>
  <c r="G23" i="89"/>
  <c r="C25" i="82" l="1"/>
  <c r="C23" i="89"/>
  <c r="C26" i="82" l="1"/>
  <c r="L27" i="45"/>
  <c r="M24" i="36"/>
  <c r="M19" i="36"/>
  <c r="M17" i="36"/>
  <c r="C27" i="82" l="1"/>
  <c r="G22" i="81"/>
  <c r="G28" i="81"/>
  <c r="L28" i="81" s="1"/>
  <c r="G20" i="81"/>
  <c r="L20" i="81" s="1"/>
  <c r="G21" i="81"/>
  <c r="G28" i="80"/>
  <c r="G21" i="80"/>
  <c r="G28" i="82"/>
  <c r="J28" i="82" s="1"/>
  <c r="G25" i="82"/>
  <c r="G28" i="68"/>
  <c r="G21" i="68"/>
  <c r="G28" i="73"/>
  <c r="G21" i="73"/>
  <c r="L21" i="73" s="1"/>
  <c r="G28" i="74"/>
  <c r="F58" i="81"/>
  <c r="G59" i="82"/>
  <c r="H61" i="82" s="1"/>
  <c r="F59" i="68"/>
  <c r="G61" i="68" s="1"/>
  <c r="G28" i="67"/>
  <c r="G29" i="67"/>
  <c r="G21" i="67"/>
  <c r="G28" i="75"/>
  <c r="L28" i="75" s="1"/>
  <c r="G21" i="75"/>
  <c r="L21" i="75" s="1"/>
  <c r="G58" i="67"/>
  <c r="F60" i="75"/>
  <c r="G62" i="75" s="1"/>
  <c r="G60" i="58"/>
  <c r="H62" i="58" s="1"/>
  <c r="G31" i="58"/>
  <c r="J31" i="58" s="1"/>
  <c r="G28" i="58"/>
  <c r="J28" i="58" s="1"/>
  <c r="G21" i="58"/>
  <c r="J21" i="58" s="1"/>
  <c r="J20" i="45"/>
  <c r="F57" i="45"/>
  <c r="G59" i="45" s="1"/>
  <c r="G57" i="88"/>
  <c r="H59" i="88" s="1"/>
  <c r="K51" i="88"/>
  <c r="J51" i="88"/>
  <c r="N51" i="88" s="1"/>
  <c r="H48" i="88"/>
  <c r="N33" i="88"/>
  <c r="D19" i="65" s="1"/>
  <c r="I32" i="88"/>
  <c r="R24" i="88"/>
  <c r="D18" i="88"/>
  <c r="D19" i="88" s="1"/>
  <c r="D20" i="88" s="1"/>
  <c r="D21" i="88" s="1"/>
  <c r="D22" i="88" s="1"/>
  <c r="D23" i="88" s="1"/>
  <c r="D24" i="88" s="1"/>
  <c r="D25" i="88" s="1"/>
  <c r="D26" i="88" s="1"/>
  <c r="D27" i="88" s="1"/>
  <c r="D28" i="88" s="1"/>
  <c r="D29" i="88" s="1"/>
  <c r="D30" i="88" s="1"/>
  <c r="D31" i="88" s="1"/>
  <c r="G21" i="69"/>
  <c r="G28" i="69"/>
  <c r="G26" i="55"/>
  <c r="L26" i="55" s="1"/>
  <c r="G19" i="55"/>
  <c r="L19" i="55" s="1"/>
  <c r="G63" i="55"/>
  <c r="H65" i="55" s="1"/>
  <c r="G61" i="36"/>
  <c r="H63" i="36" s="1"/>
  <c r="G28" i="36"/>
  <c r="G21" i="36"/>
  <c r="J21" i="36" s="1"/>
  <c r="G60" i="81" l="1"/>
  <c r="F19" i="65"/>
  <c r="B136" i="89"/>
  <c r="K22" i="81"/>
  <c r="K19" i="80"/>
  <c r="K21" i="67"/>
  <c r="J21" i="67"/>
  <c r="K28" i="67"/>
  <c r="J28" i="67"/>
  <c r="K21" i="75"/>
  <c r="N17" i="88"/>
  <c r="N24" i="88"/>
  <c r="O24" i="88" s="1"/>
  <c r="N31" i="88"/>
  <c r="C28" i="82"/>
  <c r="J26" i="88"/>
  <c r="N26" i="88" s="1"/>
  <c r="J28" i="73"/>
  <c r="K21" i="68"/>
  <c r="J28" i="68"/>
  <c r="J20" i="81"/>
  <c r="K20" i="81"/>
  <c r="J21" i="75"/>
  <c r="J28" i="75"/>
  <c r="I48" i="88"/>
  <c r="J21" i="80"/>
  <c r="K26" i="55"/>
  <c r="J20" i="88"/>
  <c r="J29" i="67"/>
  <c r="J21" i="74"/>
  <c r="J28" i="74"/>
  <c r="J22" i="81"/>
  <c r="J23" i="88"/>
  <c r="J28" i="36"/>
  <c r="L28" i="36"/>
  <c r="K21" i="69"/>
  <c r="L21" i="69"/>
  <c r="K28" i="58"/>
  <c r="J25" i="88"/>
  <c r="K28" i="81"/>
  <c r="J26" i="55"/>
  <c r="J28" i="69"/>
  <c r="L28" i="69"/>
  <c r="I20" i="45"/>
  <c r="K28" i="73"/>
  <c r="L31" i="58"/>
  <c r="K28" i="82"/>
  <c r="J21" i="81"/>
  <c r="J28" i="81"/>
  <c r="K28" i="80"/>
  <c r="J21" i="68"/>
  <c r="K21" i="74"/>
  <c r="K19" i="55"/>
  <c r="K21" i="73"/>
  <c r="K28" i="68"/>
  <c r="K21" i="82"/>
  <c r="K21" i="80"/>
  <c r="K28" i="74"/>
  <c r="J21" i="73"/>
  <c r="K21" i="81"/>
  <c r="J28" i="80"/>
  <c r="J19" i="80"/>
  <c r="K28" i="75"/>
  <c r="K31" i="58"/>
  <c r="I27" i="45"/>
  <c r="K25" i="88"/>
  <c r="N35" i="88"/>
  <c r="N21" i="88"/>
  <c r="J19" i="88"/>
  <c r="J22" i="88"/>
  <c r="K28" i="69"/>
  <c r="J21" i="69"/>
  <c r="J19" i="55"/>
  <c r="L21" i="36"/>
  <c r="N53" i="88" l="1"/>
  <c r="H19" i="65" s="1"/>
  <c r="N22" i="88"/>
  <c r="O22" i="88" s="1"/>
  <c r="N27" i="88"/>
  <c r="O27" i="88" s="1"/>
  <c r="N30" i="88"/>
  <c r="O30" i="88" s="1"/>
  <c r="N25" i="88"/>
  <c r="O25" i="88" s="1"/>
  <c r="N29" i="88"/>
  <c r="O29" i="88" s="1"/>
  <c r="N19" i="88"/>
  <c r="O19" i="88" s="1"/>
  <c r="N18" i="88"/>
  <c r="O18" i="88" s="1"/>
  <c r="N23" i="88"/>
  <c r="O23" i="88" s="1"/>
  <c r="N20" i="88"/>
  <c r="O20" i="88" s="1"/>
  <c r="N28" i="88"/>
  <c r="O28" i="88" s="1"/>
  <c r="C29" i="82"/>
  <c r="O31" i="88"/>
  <c r="O26" i="88"/>
  <c r="O21" i="88"/>
  <c r="L32" i="88"/>
  <c r="K32" i="88"/>
  <c r="N36" i="88" s="1"/>
  <c r="G19" i="65" s="1"/>
  <c r="J32" i="88"/>
  <c r="O17" i="88"/>
  <c r="I19" i="65" l="1"/>
  <c r="U19" i="65" s="1"/>
  <c r="Y19" i="65" s="1"/>
  <c r="AB19" i="65" s="1"/>
  <c r="AD19" i="65" s="1"/>
  <c r="B139" i="89"/>
  <c r="B138" i="89"/>
  <c r="J34" i="88"/>
  <c r="N38" i="88"/>
  <c r="P29" i="88"/>
  <c r="P31" i="88"/>
  <c r="C30" i="82"/>
  <c r="P22" i="88"/>
  <c r="O32" i="88"/>
  <c r="B146" i="89" l="1"/>
  <c r="C147" i="89" s="1"/>
  <c r="P32" i="88"/>
  <c r="Q32" i="88" s="1"/>
  <c r="C31" i="82"/>
  <c r="O34" i="88"/>
  <c r="G17" i="81"/>
  <c r="G24" i="58"/>
  <c r="G17" i="58"/>
  <c r="L17" i="58" s="1"/>
  <c r="K17" i="81" l="1"/>
  <c r="J17" i="81"/>
  <c r="L24" i="58"/>
  <c r="J24" i="58"/>
  <c r="K24" i="58"/>
  <c r="K17" i="58"/>
  <c r="J17" i="58"/>
  <c r="G17" i="75"/>
  <c r="G31" i="36"/>
  <c r="G24" i="36"/>
  <c r="G17" i="36"/>
  <c r="J17" i="36" s="1"/>
  <c r="G18" i="36"/>
  <c r="G31" i="69"/>
  <c r="L31" i="69" s="1"/>
  <c r="G24" i="69"/>
  <c r="J24" i="69" s="1"/>
  <c r="G17" i="69"/>
  <c r="L17" i="69" s="1"/>
  <c r="G18" i="69"/>
  <c r="L18" i="69" s="1"/>
  <c r="G18" i="68"/>
  <c r="G19" i="68"/>
  <c r="G25" i="67"/>
  <c r="G23" i="67"/>
  <c r="L23" i="67" s="1"/>
  <c r="G22" i="67"/>
  <c r="G18" i="67"/>
  <c r="K22" i="67" l="1"/>
  <c r="K17" i="75"/>
  <c r="J18" i="67"/>
  <c r="L32" i="67"/>
  <c r="K18" i="68"/>
  <c r="J26" i="67"/>
  <c r="J25" i="67"/>
  <c r="J24" i="74"/>
  <c r="J17" i="75"/>
  <c r="K25" i="67"/>
  <c r="J18" i="36"/>
  <c r="K18" i="69"/>
  <c r="J31" i="69"/>
  <c r="L24" i="69"/>
  <c r="J18" i="68"/>
  <c r="K22" i="55"/>
  <c r="J22" i="55"/>
  <c r="J31" i="36"/>
  <c r="K17" i="69"/>
  <c r="J19" i="68"/>
  <c r="K23" i="67"/>
  <c r="J23" i="67"/>
  <c r="J23" i="45"/>
  <c r="J24" i="36"/>
  <c r="J17" i="69"/>
  <c r="K31" i="69"/>
  <c r="K24" i="69"/>
  <c r="J18" i="69"/>
  <c r="K19" i="68"/>
  <c r="K17" i="68"/>
  <c r="J19" i="67"/>
  <c r="K19" i="67"/>
  <c r="K32" i="67" l="1"/>
  <c r="N17" i="75"/>
  <c r="J32" i="67"/>
  <c r="G25" i="81" l="1"/>
  <c r="G26" i="58"/>
  <c r="G19" i="58"/>
  <c r="G20" i="58"/>
  <c r="G24" i="55"/>
  <c r="L24" i="55" s="1"/>
  <c r="G17" i="55"/>
  <c r="L17" i="55" s="1"/>
  <c r="F24" i="45"/>
  <c r="K24" i="45" s="1"/>
  <c r="F26" i="45"/>
  <c r="K19" i="75"/>
  <c r="G27" i="36"/>
  <c r="G26" i="36"/>
  <c r="L26" i="36" s="1"/>
  <c r="G25" i="36"/>
  <c r="G23" i="36"/>
  <c r="G22" i="36"/>
  <c r="G19" i="36"/>
  <c r="G26" i="69"/>
  <c r="G19" i="69"/>
  <c r="J19" i="69" s="1"/>
  <c r="G26" i="68"/>
  <c r="J25" i="81" l="1"/>
  <c r="J26" i="73"/>
  <c r="K19" i="73"/>
  <c r="J26" i="45"/>
  <c r="J26" i="75"/>
  <c r="I25" i="45"/>
  <c r="J24" i="55"/>
  <c r="K26" i="74"/>
  <c r="J19" i="74"/>
  <c r="J24" i="45"/>
  <c r="J19" i="75"/>
  <c r="J20" i="58"/>
  <c r="L20" i="58"/>
  <c r="K26" i="82"/>
  <c r="L19" i="58"/>
  <c r="J19" i="58"/>
  <c r="L26" i="58"/>
  <c r="J26" i="58"/>
  <c r="J26" i="80"/>
  <c r="J19" i="81"/>
  <c r="J26" i="81"/>
  <c r="J26" i="69"/>
  <c r="L26" i="69"/>
  <c r="K20" i="58"/>
  <c r="K19" i="82"/>
  <c r="J26" i="74"/>
  <c r="L19" i="36"/>
  <c r="K26" i="73"/>
  <c r="J18" i="45"/>
  <c r="K19" i="81"/>
  <c r="I26" i="45"/>
  <c r="J26" i="36"/>
  <c r="J25" i="36"/>
  <c r="J23" i="36"/>
  <c r="J19" i="36"/>
  <c r="J26" i="68"/>
  <c r="K26" i="68"/>
  <c r="J22" i="36"/>
  <c r="J19" i="73"/>
  <c r="J22" i="45"/>
  <c r="I24" i="45"/>
  <c r="K26" i="81"/>
  <c r="K26" i="80"/>
  <c r="K26" i="58"/>
  <c r="K19" i="58"/>
  <c r="K17" i="55"/>
  <c r="J17" i="55"/>
  <c r="J25" i="45"/>
  <c r="I22" i="45"/>
  <c r="I18" i="45"/>
  <c r="K19" i="74"/>
  <c r="L19" i="69"/>
  <c r="K26" i="69"/>
  <c r="K19" i="69"/>
  <c r="G29" i="36" l="1"/>
  <c r="F28" i="45"/>
  <c r="F21" i="45"/>
  <c r="G29" i="81"/>
  <c r="G29" i="80"/>
  <c r="G22" i="80"/>
  <c r="G29" i="74"/>
  <c r="G22" i="74"/>
  <c r="G29" i="68"/>
  <c r="G27" i="68"/>
  <c r="G22" i="68"/>
  <c r="M33" i="69"/>
  <c r="G29" i="69"/>
  <c r="G22" i="69"/>
  <c r="J22" i="69" s="1"/>
  <c r="G29" i="58"/>
  <c r="G22" i="58"/>
  <c r="G29" i="75"/>
  <c r="G22" i="75"/>
  <c r="G27" i="55"/>
  <c r="G20" i="55"/>
  <c r="L20" i="55" s="1"/>
  <c r="K22" i="75" l="1"/>
  <c r="K29" i="81"/>
  <c r="K31" i="45"/>
  <c r="K29" i="75"/>
  <c r="L27" i="55"/>
  <c r="K27" i="55"/>
  <c r="J22" i="75"/>
  <c r="J29" i="68"/>
  <c r="K22" i="80"/>
  <c r="I28" i="45"/>
  <c r="J27" i="55"/>
  <c r="K20" i="55"/>
  <c r="J29" i="74"/>
  <c r="C18" i="68"/>
  <c r="J29" i="58"/>
  <c r="J20" i="55"/>
  <c r="J29" i="75"/>
  <c r="I21" i="45"/>
  <c r="J21" i="45"/>
  <c r="J22" i="73"/>
  <c r="J29" i="69"/>
  <c r="J22" i="74"/>
  <c r="J29" i="36"/>
  <c r="C19" i="68" l="1"/>
  <c r="C20" i="68" l="1"/>
  <c r="C21" i="68" l="1"/>
  <c r="C22" i="68" l="1"/>
  <c r="C23" i="68" l="1"/>
  <c r="G30" i="58"/>
  <c r="G25" i="58"/>
  <c r="G27" i="58"/>
  <c r="G23" i="58"/>
  <c r="G18" i="58"/>
  <c r="G23" i="80"/>
  <c r="L23" i="80" s="1"/>
  <c r="G28" i="55"/>
  <c r="G21" i="55"/>
  <c r="L21" i="55" s="1"/>
  <c r="G23" i="75"/>
  <c r="G23" i="74"/>
  <c r="G23" i="73"/>
  <c r="L23" i="73" s="1"/>
  <c r="G30" i="36"/>
  <c r="L30" i="36" s="1"/>
  <c r="G30" i="69"/>
  <c r="L30" i="69" s="1"/>
  <c r="G23" i="69"/>
  <c r="G30" i="68"/>
  <c r="G23" i="68"/>
  <c r="K28" i="55" l="1"/>
  <c r="L28" i="55"/>
  <c r="C24" i="68"/>
  <c r="J23" i="68"/>
  <c r="J21" i="55"/>
  <c r="J28" i="55"/>
  <c r="L18" i="58"/>
  <c r="K23" i="58"/>
  <c r="L23" i="58"/>
  <c r="J27" i="58"/>
  <c r="L27" i="58"/>
  <c r="J25" i="58"/>
  <c r="L25" i="58"/>
  <c r="J30" i="58"/>
  <c r="L30" i="58"/>
  <c r="J23" i="80"/>
  <c r="K23" i="80"/>
  <c r="M18" i="58"/>
  <c r="K30" i="58"/>
  <c r="M25" i="36"/>
  <c r="M18" i="36"/>
  <c r="K21" i="55"/>
  <c r="J30" i="36"/>
  <c r="I29" i="45"/>
  <c r="K23" i="81"/>
  <c r="J23" i="74"/>
  <c r="K23" i="74"/>
  <c r="K23" i="75"/>
  <c r="J23" i="75"/>
  <c r="K23" i="82"/>
  <c r="J23" i="58"/>
  <c r="J29" i="45"/>
  <c r="J23" i="73"/>
  <c r="K23" i="73"/>
  <c r="J30" i="68"/>
  <c r="K30" i="68"/>
  <c r="K51" i="82"/>
  <c r="J51" i="82"/>
  <c r="I32" i="82"/>
  <c r="R24" i="82"/>
  <c r="G20" i="82"/>
  <c r="D18" i="82"/>
  <c r="D19" i="82" s="1"/>
  <c r="D20" i="82" s="1"/>
  <c r="D21" i="82" s="1"/>
  <c r="D22" i="82" s="1"/>
  <c r="D23" i="82" s="1"/>
  <c r="D24" i="82" s="1"/>
  <c r="D25" i="82" s="1"/>
  <c r="D26" i="82" s="1"/>
  <c r="D27" i="82" s="1"/>
  <c r="D28" i="82" s="1"/>
  <c r="D29" i="82" s="1"/>
  <c r="D30" i="82" s="1"/>
  <c r="D31" i="82" s="1"/>
  <c r="K51" i="81"/>
  <c r="I32" i="81"/>
  <c r="R24" i="81"/>
  <c r="G18" i="81"/>
  <c r="D18" i="81"/>
  <c r="D19" i="81" s="1"/>
  <c r="D20" i="81" s="1"/>
  <c r="K76" i="80"/>
  <c r="N76" i="80" s="1"/>
  <c r="J76" i="80"/>
  <c r="K75" i="80"/>
  <c r="N75" i="80" s="1"/>
  <c r="J75" i="80"/>
  <c r="K51" i="80"/>
  <c r="J51" i="80"/>
  <c r="I32" i="80"/>
  <c r="G25" i="80"/>
  <c r="R24" i="80"/>
  <c r="D18" i="80"/>
  <c r="D19" i="80" s="1"/>
  <c r="D20" i="80" s="1"/>
  <c r="D21" i="80" s="1"/>
  <c r="K51" i="75"/>
  <c r="J51" i="75"/>
  <c r="I32" i="75"/>
  <c r="M32" i="75"/>
  <c r="G25" i="75"/>
  <c r="R24" i="75"/>
  <c r="G18" i="75"/>
  <c r="D18" i="75"/>
  <c r="D19" i="75" s="1"/>
  <c r="D20" i="75" s="1"/>
  <c r="D21" i="75" s="1"/>
  <c r="K76" i="74"/>
  <c r="N76" i="74" s="1"/>
  <c r="J76" i="74"/>
  <c r="K75" i="74"/>
  <c r="N75" i="74" s="1"/>
  <c r="J75" i="74"/>
  <c r="J51" i="74"/>
  <c r="I32" i="74"/>
  <c r="M27" i="74"/>
  <c r="G25" i="74"/>
  <c r="R24" i="74"/>
  <c r="G20" i="74"/>
  <c r="L20" i="74" s="1"/>
  <c r="G18" i="74"/>
  <c r="D18" i="74"/>
  <c r="D19" i="74" s="1"/>
  <c r="D20" i="74" s="1"/>
  <c r="D21" i="74" s="1"/>
  <c r="K76" i="73"/>
  <c r="N76" i="73" s="1"/>
  <c r="J76" i="73"/>
  <c r="K75" i="73"/>
  <c r="N75" i="73" s="1"/>
  <c r="J75" i="73"/>
  <c r="K51" i="73"/>
  <c r="J51" i="73"/>
  <c r="I32" i="73"/>
  <c r="R24" i="73"/>
  <c r="G20" i="73"/>
  <c r="L20" i="73" s="1"/>
  <c r="J18" i="73"/>
  <c r="C50" i="33"/>
  <c r="H15" i="33"/>
  <c r="J12" i="33"/>
  <c r="J21" i="33" s="1"/>
  <c r="J7" i="33"/>
  <c r="D52" i="58"/>
  <c r="D53" i="58" s="1"/>
  <c r="H49" i="58"/>
  <c r="N34" i="58"/>
  <c r="E27" i="35" s="1"/>
  <c r="I33" i="58"/>
  <c r="M29" i="58"/>
  <c r="K25" i="58"/>
  <c r="J22" i="58"/>
  <c r="K18" i="58"/>
  <c r="J18" i="58"/>
  <c r="D17" i="58"/>
  <c r="D18" i="58" s="1"/>
  <c r="D19" i="58" s="1"/>
  <c r="D20" i="58" s="1"/>
  <c r="D21" i="58" s="1"/>
  <c r="D22" i="58" s="1"/>
  <c r="D23" i="58" s="1"/>
  <c r="D24" i="58" s="1"/>
  <c r="D25" i="58" s="1"/>
  <c r="D26" i="58" s="1"/>
  <c r="D27" i="58" s="1"/>
  <c r="D28" i="58" s="1"/>
  <c r="D29" i="58" s="1"/>
  <c r="D30" i="58" s="1"/>
  <c r="D31" i="58" s="1"/>
  <c r="C17" i="58"/>
  <c r="G14" i="58"/>
  <c r="H53" i="55"/>
  <c r="N37" i="55"/>
  <c r="N39" i="55" s="1"/>
  <c r="I36" i="55"/>
  <c r="G25" i="55"/>
  <c r="L25" i="55" s="1"/>
  <c r="G23" i="55"/>
  <c r="G16" i="55"/>
  <c r="D15" i="55"/>
  <c r="C15" i="55"/>
  <c r="G12" i="55"/>
  <c r="J50" i="45"/>
  <c r="C50" i="45"/>
  <c r="I17" i="45"/>
  <c r="C16" i="45"/>
  <c r="C17" i="45" s="1"/>
  <c r="C18" i="45" s="1"/>
  <c r="C19" i="45" s="1"/>
  <c r="C20" i="45" s="1"/>
  <c r="B16" i="45"/>
  <c r="K52" i="36"/>
  <c r="J52" i="36"/>
  <c r="D52" i="36"/>
  <c r="H49" i="36"/>
  <c r="I33" i="36"/>
  <c r="J27" i="36"/>
  <c r="G20" i="36"/>
  <c r="J20" i="36" s="1"/>
  <c r="D17" i="36"/>
  <c r="D18" i="36" s="1"/>
  <c r="D19" i="36" s="1"/>
  <c r="D20" i="36" s="1"/>
  <c r="D21" i="36" s="1"/>
  <c r="D22" i="36" s="1"/>
  <c r="D23" i="36" s="1"/>
  <c r="D24" i="36" s="1"/>
  <c r="D25" i="36" s="1"/>
  <c r="D26" i="36" s="1"/>
  <c r="D27" i="36" s="1"/>
  <c r="D28" i="36" s="1"/>
  <c r="D29" i="36" s="1"/>
  <c r="D30" i="36" s="1"/>
  <c r="D31" i="36" s="1"/>
  <c r="C17" i="36"/>
  <c r="K77" i="69"/>
  <c r="N77" i="69" s="1"/>
  <c r="J77" i="69"/>
  <c r="K76" i="69"/>
  <c r="N76" i="69" s="1"/>
  <c r="J76" i="69"/>
  <c r="K52" i="69"/>
  <c r="J52" i="69"/>
  <c r="D53" i="69"/>
  <c r="C53" i="69"/>
  <c r="H49" i="69"/>
  <c r="I49" i="69" s="1"/>
  <c r="N34" i="69"/>
  <c r="I33" i="69"/>
  <c r="K32" i="69"/>
  <c r="J32" i="69"/>
  <c r="K30" i="69"/>
  <c r="J30" i="69"/>
  <c r="G27" i="69"/>
  <c r="G25" i="69"/>
  <c r="L25" i="69" s="1"/>
  <c r="R24" i="69"/>
  <c r="K23" i="69"/>
  <c r="J23" i="69"/>
  <c r="K22" i="69"/>
  <c r="G20" i="69"/>
  <c r="K20" i="69" s="1"/>
  <c r="D18" i="69"/>
  <c r="D19" i="69" s="1"/>
  <c r="D20" i="69" s="1"/>
  <c r="D21" i="69" s="1"/>
  <c r="D22" i="69" s="1"/>
  <c r="D23" i="69" s="1"/>
  <c r="D24" i="69" s="1"/>
  <c r="D25" i="69" s="1"/>
  <c r="D26" i="69" s="1"/>
  <c r="D27" i="69" s="1"/>
  <c r="D28" i="69" s="1"/>
  <c r="D29" i="69" s="1"/>
  <c r="D30" i="69" s="1"/>
  <c r="D31" i="69" s="1"/>
  <c r="G14" i="69"/>
  <c r="K76" i="68"/>
  <c r="N76" i="68" s="1"/>
  <c r="J76" i="68"/>
  <c r="K75" i="68"/>
  <c r="N75" i="68" s="1"/>
  <c r="J75" i="68"/>
  <c r="J51" i="68"/>
  <c r="K27" i="68"/>
  <c r="G25" i="68"/>
  <c r="L32" i="68" s="1"/>
  <c r="R24" i="68"/>
  <c r="K23" i="68"/>
  <c r="K22" i="68"/>
  <c r="D18" i="68"/>
  <c r="D19" i="68" s="1"/>
  <c r="D20" i="68" s="1"/>
  <c r="D21" i="68" s="1"/>
  <c r="D22" i="68" s="1"/>
  <c r="D23" i="68" s="1"/>
  <c r="D24" i="68" s="1"/>
  <c r="D25" i="68" s="1"/>
  <c r="D26" i="68" s="1"/>
  <c r="D27" i="68" s="1"/>
  <c r="D28" i="68" s="1"/>
  <c r="D29" i="68" s="1"/>
  <c r="D30" i="68" s="1"/>
  <c r="D31" i="68" s="1"/>
  <c r="R24" i="67"/>
  <c r="D18" i="67"/>
  <c r="D19" i="67" s="1"/>
  <c r="D20" i="67" s="1"/>
  <c r="D21" i="67" s="1"/>
  <c r="D22" i="67" s="1"/>
  <c r="D23" i="67" s="1"/>
  <c r="D24" i="67" s="1"/>
  <c r="D25" i="67" s="1"/>
  <c r="D26" i="67" s="1"/>
  <c r="D27" i="67" s="1"/>
  <c r="D28" i="67" s="1"/>
  <c r="D29" i="67" s="1"/>
  <c r="D30" i="67" s="1"/>
  <c r="D31" i="67" s="1"/>
  <c r="C18" i="67"/>
  <c r="V67" i="64"/>
  <c r="U67" i="64"/>
  <c r="T67" i="64"/>
  <c r="S67" i="64"/>
  <c r="R67" i="64"/>
  <c r="Q67" i="64"/>
  <c r="P67" i="64"/>
  <c r="N67" i="64"/>
  <c r="J67" i="64"/>
  <c r="H67" i="64"/>
  <c r="E67" i="64"/>
  <c r="D67" i="64"/>
  <c r="W65" i="64"/>
  <c r="F65" i="64"/>
  <c r="I65" i="64" s="1"/>
  <c r="W64" i="64"/>
  <c r="F64" i="64"/>
  <c r="I64" i="64" s="1"/>
  <c r="W63" i="64"/>
  <c r="F63" i="64"/>
  <c r="I63" i="64" s="1"/>
  <c r="W62" i="64"/>
  <c r="F62" i="64"/>
  <c r="I62" i="64" s="1"/>
  <c r="W61" i="64"/>
  <c r="F61" i="64"/>
  <c r="I61" i="64" s="1"/>
  <c r="W60" i="64"/>
  <c r="F60" i="64"/>
  <c r="I60" i="64" s="1"/>
  <c r="W59" i="64"/>
  <c r="F59" i="64"/>
  <c r="I59" i="64" s="1"/>
  <c r="W58" i="64"/>
  <c r="F58" i="64"/>
  <c r="I58" i="64" s="1"/>
  <c r="W57" i="64"/>
  <c r="F57" i="64"/>
  <c r="I57" i="64" s="1"/>
  <c r="W56" i="64"/>
  <c r="F56" i="64"/>
  <c r="I56" i="64" s="1"/>
  <c r="W55" i="64"/>
  <c r="F55" i="64"/>
  <c r="I55" i="64" s="1"/>
  <c r="W54" i="64"/>
  <c r="F54" i="64"/>
  <c r="I54" i="64" s="1"/>
  <c r="W53" i="64"/>
  <c r="F53" i="64"/>
  <c r="I53" i="64" s="1"/>
  <c r="W52" i="64"/>
  <c r="F52" i="64"/>
  <c r="I52" i="64" s="1"/>
  <c r="W51" i="64"/>
  <c r="F51" i="64"/>
  <c r="I51" i="64" s="1"/>
  <c r="W50" i="64"/>
  <c r="F50" i="64"/>
  <c r="W49" i="64"/>
  <c r="F49" i="64"/>
  <c r="I49" i="64" s="1"/>
  <c r="W48" i="64"/>
  <c r="F48" i="64"/>
  <c r="I48" i="64" s="1"/>
  <c r="W47" i="64"/>
  <c r="F47" i="64"/>
  <c r="I47" i="64" s="1"/>
  <c r="W46" i="64"/>
  <c r="F46" i="64"/>
  <c r="I46" i="64" s="1"/>
  <c r="F44" i="64"/>
  <c r="I44" i="64" s="1"/>
  <c r="X44" i="64" s="1"/>
  <c r="W43" i="64"/>
  <c r="F43" i="64"/>
  <c r="I43" i="64" s="1"/>
  <c r="W42" i="64"/>
  <c r="F42" i="64"/>
  <c r="I42" i="64" s="1"/>
  <c r="W41" i="64"/>
  <c r="F41" i="64"/>
  <c r="I41" i="64" s="1"/>
  <c r="F40" i="64"/>
  <c r="I40" i="64" s="1"/>
  <c r="X40" i="64" s="1"/>
  <c r="W39" i="64"/>
  <c r="F39" i="64"/>
  <c r="I39" i="64" s="1"/>
  <c r="W38" i="64"/>
  <c r="F38" i="64"/>
  <c r="I38" i="64" s="1"/>
  <c r="W37" i="64"/>
  <c r="F37" i="64"/>
  <c r="I37" i="64" s="1"/>
  <c r="W36" i="64"/>
  <c r="F36" i="64"/>
  <c r="I36" i="64" s="1"/>
  <c r="I33" i="64"/>
  <c r="W32" i="64"/>
  <c r="F32" i="64"/>
  <c r="I32" i="64" s="1"/>
  <c r="W31" i="64"/>
  <c r="F31" i="64"/>
  <c r="I31" i="64" s="1"/>
  <c r="F30" i="64"/>
  <c r="I30" i="64" s="1"/>
  <c r="X30" i="64" s="1"/>
  <c r="W29" i="64"/>
  <c r="G29" i="64"/>
  <c r="F29" i="64"/>
  <c r="W28" i="64"/>
  <c r="F28" i="64"/>
  <c r="I28" i="64" s="1"/>
  <c r="W27" i="64"/>
  <c r="F27" i="64"/>
  <c r="I27" i="64" s="1"/>
  <c r="W26" i="64"/>
  <c r="F26" i="64"/>
  <c r="I26" i="64" s="1"/>
  <c r="W25" i="64"/>
  <c r="F25" i="64"/>
  <c r="I25" i="64" s="1"/>
  <c r="W24" i="64"/>
  <c r="F24" i="64"/>
  <c r="I24" i="64" s="1"/>
  <c r="W23" i="64"/>
  <c r="F23" i="64"/>
  <c r="I23" i="64" s="1"/>
  <c r="W22" i="64"/>
  <c r="F22" i="64"/>
  <c r="I22" i="64" s="1"/>
  <c r="W21" i="64"/>
  <c r="F21" i="64"/>
  <c r="I21" i="64" s="1"/>
  <c r="W20" i="64"/>
  <c r="F20" i="64"/>
  <c r="I20" i="64" s="1"/>
  <c r="W19" i="64"/>
  <c r="F19" i="64"/>
  <c r="I19" i="64" s="1"/>
  <c r="X18" i="64"/>
  <c r="W17" i="64"/>
  <c r="X17" i="64" s="1"/>
  <c r="F17" i="64"/>
  <c r="I17" i="64" s="1"/>
  <c r="O16" i="64"/>
  <c r="W16" i="64" s="1"/>
  <c r="X16" i="64" s="1"/>
  <c r="F16" i="64"/>
  <c r="I16" i="64" s="1"/>
  <c r="O15" i="64"/>
  <c r="W15" i="64" s="1"/>
  <c r="X15" i="64" s="1"/>
  <c r="F15" i="64"/>
  <c r="I15" i="64" s="1"/>
  <c r="O14" i="64"/>
  <c r="W14" i="64" s="1"/>
  <c r="X14" i="64" s="1"/>
  <c r="F14" i="64"/>
  <c r="I14" i="64" s="1"/>
  <c r="W13" i="64"/>
  <c r="X13" i="64" s="1"/>
  <c r="F13" i="64"/>
  <c r="I13" i="64" s="1"/>
  <c r="Q67" i="59"/>
  <c r="P67" i="59"/>
  <c r="M67" i="59"/>
  <c r="L67" i="59"/>
  <c r="K67" i="59"/>
  <c r="G66" i="59"/>
  <c r="T65" i="59"/>
  <c r="G65" i="59"/>
  <c r="S64" i="59"/>
  <c r="R64" i="59"/>
  <c r="T64" i="59" s="1"/>
  <c r="G64" i="59"/>
  <c r="T63" i="59"/>
  <c r="G63" i="59"/>
  <c r="T62" i="59"/>
  <c r="G62" i="59"/>
  <c r="T61" i="59"/>
  <c r="G61" i="59"/>
  <c r="T60" i="59"/>
  <c r="G60" i="59"/>
  <c r="T59" i="59"/>
  <c r="G59" i="59"/>
  <c r="T58" i="59"/>
  <c r="G58" i="59"/>
  <c r="T57" i="59"/>
  <c r="G57" i="59"/>
  <c r="T56" i="59"/>
  <c r="G56" i="59"/>
  <c r="T55" i="59"/>
  <c r="G55" i="59"/>
  <c r="T54" i="59"/>
  <c r="G54" i="59"/>
  <c r="T53" i="59"/>
  <c r="G53" i="59"/>
  <c r="T52" i="59"/>
  <c r="G52" i="59"/>
  <c r="T51" i="59"/>
  <c r="G51" i="59"/>
  <c r="T50" i="59"/>
  <c r="G50" i="59"/>
  <c r="T49" i="59"/>
  <c r="G49" i="59"/>
  <c r="T48" i="59"/>
  <c r="G48" i="59"/>
  <c r="U47" i="59"/>
  <c r="T46" i="59"/>
  <c r="T45" i="59"/>
  <c r="G45" i="59"/>
  <c r="J45" i="59" s="1"/>
  <c r="D45" i="59"/>
  <c r="G44" i="59"/>
  <c r="J44" i="59" s="1"/>
  <c r="U44" i="59" s="1"/>
  <c r="T43" i="59"/>
  <c r="I43" i="59"/>
  <c r="G43" i="59"/>
  <c r="D43" i="59"/>
  <c r="T42" i="59"/>
  <c r="G42" i="59"/>
  <c r="J42" i="59" s="1"/>
  <c r="D42" i="59"/>
  <c r="T41" i="59"/>
  <c r="I41" i="59"/>
  <c r="G41" i="59"/>
  <c r="G40" i="59"/>
  <c r="J40" i="59" s="1"/>
  <c r="U40" i="59" s="1"/>
  <c r="U39" i="59"/>
  <c r="U38" i="59"/>
  <c r="U37" i="59"/>
  <c r="T36" i="59"/>
  <c r="I36" i="59"/>
  <c r="F36" i="59"/>
  <c r="G36" i="59" s="1"/>
  <c r="D36" i="59"/>
  <c r="T35" i="59"/>
  <c r="G35" i="59"/>
  <c r="J35" i="59" s="1"/>
  <c r="T34" i="59"/>
  <c r="G34" i="59"/>
  <c r="J34" i="59" s="1"/>
  <c r="T33" i="59"/>
  <c r="G33" i="59"/>
  <c r="J33" i="59" s="1"/>
  <c r="T32" i="59"/>
  <c r="G32" i="59"/>
  <c r="J32" i="59" s="1"/>
  <c r="D32" i="59"/>
  <c r="T31" i="59"/>
  <c r="G30" i="59"/>
  <c r="J30" i="59" s="1"/>
  <c r="U30" i="59" s="1"/>
  <c r="I29" i="59"/>
  <c r="H29" i="59"/>
  <c r="F29" i="59"/>
  <c r="E29" i="59"/>
  <c r="D29" i="59"/>
  <c r="T28" i="59"/>
  <c r="T27" i="59"/>
  <c r="T26" i="59"/>
  <c r="T25" i="59"/>
  <c r="D25" i="59"/>
  <c r="T24" i="59"/>
  <c r="G24" i="59"/>
  <c r="J24" i="59" s="1"/>
  <c r="D24" i="59"/>
  <c r="T23" i="59"/>
  <c r="I23" i="59"/>
  <c r="E23" i="59"/>
  <c r="T22" i="59"/>
  <c r="F22" i="59"/>
  <c r="E22" i="59"/>
  <c r="D22" i="59"/>
  <c r="T21" i="59"/>
  <c r="I21" i="59"/>
  <c r="E21" i="59"/>
  <c r="T20" i="59"/>
  <c r="E20" i="59"/>
  <c r="T19" i="59"/>
  <c r="D19" i="59"/>
  <c r="U18" i="59"/>
  <c r="T17" i="59"/>
  <c r="U17" i="59" s="1"/>
  <c r="N16" i="59"/>
  <c r="T16" i="59" s="1"/>
  <c r="U16" i="59" s="1"/>
  <c r="O15" i="59"/>
  <c r="N15" i="59"/>
  <c r="O14" i="59"/>
  <c r="N14" i="59"/>
  <c r="T13" i="59"/>
  <c r="U13" i="59" s="1"/>
  <c r="T64" i="35"/>
  <c r="S64" i="35"/>
  <c r="R64" i="35"/>
  <c r="Q64" i="35"/>
  <c r="N64" i="35"/>
  <c r="K64" i="35"/>
  <c r="G62" i="35"/>
  <c r="U61" i="35"/>
  <c r="V61" i="35" s="1"/>
  <c r="G61" i="35"/>
  <c r="U60" i="35"/>
  <c r="V60" i="35" s="1"/>
  <c r="G60" i="35"/>
  <c r="U59" i="35"/>
  <c r="V59" i="35" s="1"/>
  <c r="G59" i="35"/>
  <c r="U58" i="35"/>
  <c r="V58" i="35" s="1"/>
  <c r="G58" i="35"/>
  <c r="U57" i="35"/>
  <c r="V57" i="35" s="1"/>
  <c r="G57" i="35"/>
  <c r="U56" i="35"/>
  <c r="V56" i="35" s="1"/>
  <c r="G56" i="35"/>
  <c r="U55" i="35"/>
  <c r="V55" i="35" s="1"/>
  <c r="G55" i="35"/>
  <c r="U54" i="35"/>
  <c r="V54" i="35" s="1"/>
  <c r="G54" i="35"/>
  <c r="U53" i="35"/>
  <c r="V53" i="35" s="1"/>
  <c r="G53" i="35"/>
  <c r="U52" i="35"/>
  <c r="V52" i="35" s="1"/>
  <c r="G52" i="35"/>
  <c r="U51" i="35"/>
  <c r="V51" i="35" s="1"/>
  <c r="G51" i="35"/>
  <c r="U50" i="35"/>
  <c r="V50" i="35" s="1"/>
  <c r="G50" i="35"/>
  <c r="U49" i="35"/>
  <c r="V49" i="35" s="1"/>
  <c r="G49" i="35"/>
  <c r="U48" i="35"/>
  <c r="V48" i="35" s="1"/>
  <c r="G48" i="35"/>
  <c r="U47" i="35"/>
  <c r="V47" i="35" s="1"/>
  <c r="G47" i="35"/>
  <c r="U46" i="35"/>
  <c r="G46" i="35"/>
  <c r="U45" i="35"/>
  <c r="V45" i="35" s="1"/>
  <c r="G45" i="35"/>
  <c r="U44" i="35"/>
  <c r="V44" i="35" s="1"/>
  <c r="G44" i="35"/>
  <c r="U43" i="35"/>
  <c r="I43" i="35"/>
  <c r="U42" i="35"/>
  <c r="F42" i="35"/>
  <c r="E42" i="35"/>
  <c r="D42" i="35"/>
  <c r="G41" i="35"/>
  <c r="J41" i="35" s="1"/>
  <c r="V41" i="35" s="1"/>
  <c r="U40" i="35"/>
  <c r="I40" i="35"/>
  <c r="U39" i="35"/>
  <c r="F39" i="35"/>
  <c r="G39" i="35" s="1"/>
  <c r="J39" i="35" s="1"/>
  <c r="U38" i="35"/>
  <c r="I38" i="35"/>
  <c r="E38" i="35"/>
  <c r="G37" i="35"/>
  <c r="J37" i="35" s="1"/>
  <c r="V37" i="35" s="1"/>
  <c r="U36" i="35"/>
  <c r="I36" i="35"/>
  <c r="F36" i="35"/>
  <c r="E36" i="35"/>
  <c r="U35" i="35"/>
  <c r="U34" i="35"/>
  <c r="G34" i="35"/>
  <c r="J34" i="35" s="1"/>
  <c r="U33" i="35"/>
  <c r="G33" i="35"/>
  <c r="J33" i="35" s="1"/>
  <c r="U32" i="35"/>
  <c r="G32" i="35"/>
  <c r="J32" i="35" s="1"/>
  <c r="U31" i="35"/>
  <c r="E31" i="35"/>
  <c r="G30" i="35"/>
  <c r="J30" i="35" s="1"/>
  <c r="V30" i="35" s="1"/>
  <c r="I29" i="35"/>
  <c r="H29" i="35"/>
  <c r="F29" i="35"/>
  <c r="E29" i="35"/>
  <c r="U28" i="35"/>
  <c r="U27" i="35"/>
  <c r="U26" i="35"/>
  <c r="E26" i="35"/>
  <c r="U25" i="35"/>
  <c r="U24" i="35"/>
  <c r="G24" i="35"/>
  <c r="J24" i="35" s="1"/>
  <c r="U23" i="35"/>
  <c r="I23" i="35"/>
  <c r="E23" i="35"/>
  <c r="U22" i="35"/>
  <c r="I22" i="35"/>
  <c r="F22" i="35"/>
  <c r="E22" i="35"/>
  <c r="U21" i="35"/>
  <c r="U20" i="35"/>
  <c r="U19" i="35"/>
  <c r="V18" i="35"/>
  <c r="U17" i="35"/>
  <c r="V17" i="35" s="1"/>
  <c r="O16" i="35"/>
  <c r="U16" i="35" s="1"/>
  <c r="V16" i="35" s="1"/>
  <c r="P15" i="35"/>
  <c r="O15" i="35"/>
  <c r="P14" i="35"/>
  <c r="O14" i="35"/>
  <c r="U13" i="35"/>
  <c r="F31" i="4"/>
  <c r="H29" i="4"/>
  <c r="G29" i="4"/>
  <c r="H28" i="4"/>
  <c r="G28" i="4"/>
  <c r="H27" i="4"/>
  <c r="G27" i="4"/>
  <c r="H26" i="4"/>
  <c r="G26" i="4"/>
  <c r="H25" i="4"/>
  <c r="G25" i="4"/>
  <c r="H24" i="4"/>
  <c r="G24" i="4"/>
  <c r="H23" i="4"/>
  <c r="G23" i="4"/>
  <c r="H22" i="4"/>
  <c r="G22" i="4"/>
  <c r="H21" i="4"/>
  <c r="G21" i="4"/>
  <c r="H20" i="4"/>
  <c r="G20" i="4"/>
  <c r="H19" i="4"/>
  <c r="G19" i="4"/>
  <c r="H18" i="4"/>
  <c r="G18" i="4"/>
  <c r="H17" i="4"/>
  <c r="G17" i="4"/>
  <c r="H16" i="4"/>
  <c r="G16" i="4"/>
  <c r="C16" i="4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B16" i="4"/>
  <c r="B17" i="4" s="1"/>
  <c r="B18" i="4" s="1"/>
  <c r="B19" i="4" s="1"/>
  <c r="F24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C16" i="1"/>
  <c r="C17" i="1" s="1"/>
  <c r="C18" i="1" s="1"/>
  <c r="C19" i="1" s="1"/>
  <c r="C20" i="1" s="1"/>
  <c r="C21" i="1" s="1"/>
  <c r="C22" i="1" s="1"/>
  <c r="B16" i="1"/>
  <c r="B17" i="1" s="1"/>
  <c r="B18" i="1" s="1"/>
  <c r="E12" i="1"/>
  <c r="F12" i="1" s="1"/>
  <c r="N34" i="75" l="1"/>
  <c r="E32" i="65" s="1"/>
  <c r="L32" i="81"/>
  <c r="J20" i="80"/>
  <c r="L32" i="73"/>
  <c r="AB17" i="65"/>
  <c r="AD17" i="65" s="1"/>
  <c r="AB22" i="65"/>
  <c r="AD22" i="65" s="1"/>
  <c r="L36" i="55"/>
  <c r="AA64" i="65"/>
  <c r="D16" i="55"/>
  <c r="C25" i="68"/>
  <c r="C19" i="67"/>
  <c r="C20" i="67" s="1"/>
  <c r="K25" i="75"/>
  <c r="J25" i="75"/>
  <c r="K18" i="81"/>
  <c r="J18" i="81"/>
  <c r="C77" i="33"/>
  <c r="K25" i="68"/>
  <c r="I49" i="36"/>
  <c r="N53" i="36"/>
  <c r="C21" i="33"/>
  <c r="L32" i="75"/>
  <c r="N56" i="55"/>
  <c r="L33" i="58"/>
  <c r="M33" i="36"/>
  <c r="O36" i="36" s="1"/>
  <c r="E21" i="35"/>
  <c r="J20" i="74"/>
  <c r="D22" i="80"/>
  <c r="D23" i="80" s="1"/>
  <c r="D24" i="80" s="1"/>
  <c r="D25" i="80" s="1"/>
  <c r="D26" i="80" s="1"/>
  <c r="D27" i="80" s="1"/>
  <c r="D28" i="80" s="1"/>
  <c r="D29" i="80" s="1"/>
  <c r="D30" i="80" s="1"/>
  <c r="D31" i="80" s="1"/>
  <c r="G36" i="35"/>
  <c r="J36" i="35" s="1"/>
  <c r="V36" i="35" s="1"/>
  <c r="V39" i="35"/>
  <c r="O67" i="59"/>
  <c r="T15" i="59"/>
  <c r="U15" i="59" s="1"/>
  <c r="X20" i="64"/>
  <c r="X22" i="64"/>
  <c r="X24" i="64"/>
  <c r="X26" i="64"/>
  <c r="X28" i="64"/>
  <c r="X32" i="64"/>
  <c r="X41" i="64"/>
  <c r="X43" i="64"/>
  <c r="N78" i="73"/>
  <c r="M19" i="68"/>
  <c r="M22" i="68"/>
  <c r="X46" i="64"/>
  <c r="X48" i="64"/>
  <c r="X52" i="64"/>
  <c r="X54" i="64"/>
  <c r="X56" i="64"/>
  <c r="X58" i="64"/>
  <c r="L26" i="45"/>
  <c r="M28" i="73"/>
  <c r="H48" i="73"/>
  <c r="N52" i="73" s="1"/>
  <c r="M31" i="68"/>
  <c r="M24" i="68"/>
  <c r="M17" i="68"/>
  <c r="B17" i="45"/>
  <c r="B18" i="45" s="1"/>
  <c r="B19" i="45" s="1"/>
  <c r="B20" i="45" s="1"/>
  <c r="B21" i="45" s="1"/>
  <c r="B22" i="45" s="1"/>
  <c r="C18" i="74"/>
  <c r="U15" i="35"/>
  <c r="V15" i="35" s="1"/>
  <c r="V46" i="35"/>
  <c r="C18" i="75"/>
  <c r="O17" i="75"/>
  <c r="C18" i="80"/>
  <c r="C18" i="81"/>
  <c r="C18" i="69"/>
  <c r="O17" i="69"/>
  <c r="M18" i="73"/>
  <c r="U33" i="59"/>
  <c r="U51" i="59"/>
  <c r="U59" i="59"/>
  <c r="C18" i="36"/>
  <c r="N17" i="36"/>
  <c r="O17" i="36" s="1"/>
  <c r="L20" i="45"/>
  <c r="L19" i="45"/>
  <c r="C16" i="55"/>
  <c r="C17" i="55" s="1"/>
  <c r="C18" i="55" s="1"/>
  <c r="C19" i="55" s="1"/>
  <c r="C20" i="55" s="1"/>
  <c r="C21" i="55" s="1"/>
  <c r="C22" i="55" s="1"/>
  <c r="N15" i="55"/>
  <c r="C18" i="58"/>
  <c r="C19" i="58" s="1"/>
  <c r="N19" i="58" s="1"/>
  <c r="N17" i="58"/>
  <c r="C18" i="73"/>
  <c r="K20" i="82"/>
  <c r="L32" i="80"/>
  <c r="H31" i="4"/>
  <c r="K20" i="74"/>
  <c r="U14" i="35"/>
  <c r="V14" i="35" s="1"/>
  <c r="T14" i="59"/>
  <c r="U14" i="59" s="1"/>
  <c r="G22" i="59"/>
  <c r="J22" i="59" s="1"/>
  <c r="U22" i="59" s="1"/>
  <c r="U65" i="59"/>
  <c r="M20" i="74"/>
  <c r="M25" i="73"/>
  <c r="M26" i="73"/>
  <c r="G29" i="35"/>
  <c r="J29" i="35" s="1"/>
  <c r="U32" i="59"/>
  <c r="U34" i="59"/>
  <c r="U50" i="59"/>
  <c r="U56" i="59"/>
  <c r="U58" i="59"/>
  <c r="U60" i="59"/>
  <c r="U62" i="59"/>
  <c r="X36" i="64"/>
  <c r="X38" i="64"/>
  <c r="M23" i="68"/>
  <c r="M26" i="68"/>
  <c r="L25" i="45"/>
  <c r="H21" i="33"/>
  <c r="J23" i="33" s="1"/>
  <c r="M27" i="68"/>
  <c r="V33" i="35"/>
  <c r="J41" i="59"/>
  <c r="U41" i="59" s="1"/>
  <c r="U42" i="59"/>
  <c r="U57" i="59"/>
  <c r="U63" i="59"/>
  <c r="X42" i="64"/>
  <c r="N78" i="68"/>
  <c r="G14" i="82"/>
  <c r="K25" i="82"/>
  <c r="G22" i="35"/>
  <c r="J22" i="35" s="1"/>
  <c r="V22" i="35" s="1"/>
  <c r="V32" i="35"/>
  <c r="V34" i="35"/>
  <c r="X60" i="64"/>
  <c r="X62" i="64"/>
  <c r="X64" i="64"/>
  <c r="F67" i="64"/>
  <c r="J25" i="68"/>
  <c r="K18" i="73"/>
  <c r="H77" i="33"/>
  <c r="U61" i="59"/>
  <c r="N33" i="67"/>
  <c r="D20" i="65" s="1"/>
  <c r="L33" i="36"/>
  <c r="J23" i="55"/>
  <c r="K23" i="55"/>
  <c r="V13" i="35"/>
  <c r="U52" i="59"/>
  <c r="U54" i="59"/>
  <c r="X27" i="64"/>
  <c r="H48" i="68"/>
  <c r="M21" i="68"/>
  <c r="M29" i="68"/>
  <c r="N67" i="59"/>
  <c r="I49" i="58"/>
  <c r="N52" i="58"/>
  <c r="N38" i="58" s="1"/>
  <c r="I27" i="59" s="1"/>
  <c r="K20" i="73"/>
  <c r="J20" i="73"/>
  <c r="K25" i="73"/>
  <c r="J25" i="73"/>
  <c r="G24" i="1"/>
  <c r="U35" i="59"/>
  <c r="X31" i="64"/>
  <c r="G14" i="68"/>
  <c r="H50" i="33"/>
  <c r="E77" i="33"/>
  <c r="J77" i="33"/>
  <c r="D21" i="81"/>
  <c r="D22" i="81" s="1"/>
  <c r="D23" i="81" s="1"/>
  <c r="D24" i="81" s="1"/>
  <c r="D25" i="81" s="1"/>
  <c r="D26" i="81" s="1"/>
  <c r="D27" i="81" s="1"/>
  <c r="D28" i="81" s="1"/>
  <c r="D29" i="81" s="1"/>
  <c r="D30" i="81" s="1"/>
  <c r="D31" i="81" s="1"/>
  <c r="H24" i="1"/>
  <c r="D22" i="75"/>
  <c r="D23" i="75" s="1"/>
  <c r="D24" i="75" s="1"/>
  <c r="D25" i="75" s="1"/>
  <c r="D26" i="75" s="1"/>
  <c r="D27" i="75" s="1"/>
  <c r="D28" i="75" s="1"/>
  <c r="D29" i="75" s="1"/>
  <c r="D30" i="75" s="1"/>
  <c r="D31" i="75" s="1"/>
  <c r="U49" i="59"/>
  <c r="P64" i="35"/>
  <c r="V24" i="35"/>
  <c r="G42" i="35"/>
  <c r="J42" i="35" s="1"/>
  <c r="V42" i="35" s="1"/>
  <c r="U24" i="59"/>
  <c r="G29" i="59"/>
  <c r="J29" i="59" s="1"/>
  <c r="U29" i="59" s="1"/>
  <c r="J36" i="59"/>
  <c r="U36" i="59" s="1"/>
  <c r="U45" i="59"/>
  <c r="U48" i="59"/>
  <c r="U53" i="59"/>
  <c r="U55" i="59"/>
  <c r="J17" i="45"/>
  <c r="M33" i="58"/>
  <c r="D35" i="59"/>
  <c r="D22" i="74"/>
  <c r="D23" i="74" s="1"/>
  <c r="D24" i="74" s="1"/>
  <c r="D25" i="74" s="1"/>
  <c r="D26" i="74" s="1"/>
  <c r="D27" i="74" s="1"/>
  <c r="D28" i="74" s="1"/>
  <c r="D29" i="74" s="1"/>
  <c r="D30" i="74" s="1"/>
  <c r="D31" i="74" s="1"/>
  <c r="N78" i="74"/>
  <c r="K20" i="75"/>
  <c r="H48" i="75"/>
  <c r="N52" i="75" s="1"/>
  <c r="N78" i="80"/>
  <c r="G14" i="81"/>
  <c r="K18" i="82"/>
  <c r="H48" i="82"/>
  <c r="N52" i="36"/>
  <c r="K27" i="58"/>
  <c r="K22" i="58"/>
  <c r="J25" i="69"/>
  <c r="K25" i="69"/>
  <c r="J20" i="69"/>
  <c r="K29" i="68"/>
  <c r="K22" i="82"/>
  <c r="N33" i="82"/>
  <c r="D40" i="65" s="1"/>
  <c r="K29" i="82"/>
  <c r="J43" i="59"/>
  <c r="U43" i="59" s="1"/>
  <c r="H48" i="81"/>
  <c r="N51" i="81" s="1"/>
  <c r="J29" i="81"/>
  <c r="N33" i="81"/>
  <c r="D42" i="65" s="1"/>
  <c r="K25" i="81"/>
  <c r="H48" i="80"/>
  <c r="J25" i="80"/>
  <c r="K18" i="80"/>
  <c r="K25" i="80"/>
  <c r="K29" i="80"/>
  <c r="J18" i="80"/>
  <c r="J22" i="80"/>
  <c r="J29" i="80"/>
  <c r="E50" i="33"/>
  <c r="E52" i="33" s="1"/>
  <c r="J50" i="33"/>
  <c r="E105" i="33"/>
  <c r="E21" i="33"/>
  <c r="C105" i="33"/>
  <c r="J18" i="75"/>
  <c r="K18" i="75"/>
  <c r="H48" i="74"/>
  <c r="N52" i="74" s="1"/>
  <c r="J18" i="74"/>
  <c r="J25" i="74"/>
  <c r="K18" i="74"/>
  <c r="K25" i="74"/>
  <c r="I17" i="4"/>
  <c r="B19" i="1"/>
  <c r="I18" i="1"/>
  <c r="I19" i="4"/>
  <c r="B20" i="4"/>
  <c r="I18" i="4"/>
  <c r="I17" i="1"/>
  <c r="U64" i="59"/>
  <c r="G31" i="4"/>
  <c r="I16" i="4"/>
  <c r="O64" i="35"/>
  <c r="E67" i="59"/>
  <c r="X50" i="64"/>
  <c r="I50" i="64"/>
  <c r="K20" i="68"/>
  <c r="J20" i="68"/>
  <c r="I16" i="1"/>
  <c r="X19" i="64"/>
  <c r="X21" i="64"/>
  <c r="X23" i="64"/>
  <c r="X25" i="64"/>
  <c r="G67" i="64"/>
  <c r="I29" i="64"/>
  <c r="X29" i="64" s="1"/>
  <c r="X37" i="64"/>
  <c r="X39" i="64"/>
  <c r="X47" i="64"/>
  <c r="X49" i="64"/>
  <c r="X51" i="64"/>
  <c r="X53" i="64"/>
  <c r="X55" i="64"/>
  <c r="X57" i="64"/>
  <c r="X59" i="64"/>
  <c r="X61" i="64"/>
  <c r="X63" i="64"/>
  <c r="X65" i="64"/>
  <c r="O67" i="64"/>
  <c r="W67" i="64"/>
  <c r="K27" i="69"/>
  <c r="L27" i="69"/>
  <c r="J27" i="69"/>
  <c r="L20" i="69"/>
  <c r="H48" i="67"/>
  <c r="G14" i="67"/>
  <c r="N36" i="67" s="1"/>
  <c r="G20" i="65" s="1"/>
  <c r="J22" i="68"/>
  <c r="J27" i="68"/>
  <c r="N79" i="69"/>
  <c r="M25" i="68"/>
  <c r="M28" i="68"/>
  <c r="F40" i="35"/>
  <c r="C21" i="45"/>
  <c r="C22" i="45" s="1"/>
  <c r="C23" i="45" s="1"/>
  <c r="C24" i="45" s="1"/>
  <c r="C25" i="45" s="1"/>
  <c r="C26" i="45" s="1"/>
  <c r="C27" i="45" s="1"/>
  <c r="C28" i="45" s="1"/>
  <c r="C29" i="45" s="1"/>
  <c r="C30" i="45" s="1"/>
  <c r="E40" i="35"/>
  <c r="G47" i="45"/>
  <c r="I19" i="45"/>
  <c r="I31" i="45" s="1"/>
  <c r="J19" i="45"/>
  <c r="K16" i="55"/>
  <c r="J16" i="55"/>
  <c r="E43" i="35"/>
  <c r="K25" i="55"/>
  <c r="J25" i="55"/>
  <c r="I53" i="55"/>
  <c r="J33" i="58"/>
  <c r="N18" i="58" l="1"/>
  <c r="B113" i="90"/>
  <c r="M18" i="45"/>
  <c r="N18" i="45" s="1"/>
  <c r="N51" i="75"/>
  <c r="I48" i="80"/>
  <c r="N52" i="80"/>
  <c r="N51" i="80"/>
  <c r="F40" i="65"/>
  <c r="B106" i="89"/>
  <c r="F42" i="65"/>
  <c r="B136" i="90"/>
  <c r="F76" i="90"/>
  <c r="F20" i="65"/>
  <c r="F74" i="90"/>
  <c r="T67" i="59"/>
  <c r="I48" i="81"/>
  <c r="I48" i="82"/>
  <c r="N51" i="68"/>
  <c r="N52" i="68"/>
  <c r="N51" i="82"/>
  <c r="AB44" i="65"/>
  <c r="AD44" i="65" s="1"/>
  <c r="N17" i="67"/>
  <c r="O17" i="67" s="1"/>
  <c r="M51" i="45"/>
  <c r="N17" i="81"/>
  <c r="O17" i="81" s="1"/>
  <c r="I48" i="75"/>
  <c r="M59" i="75" s="1"/>
  <c r="L31" i="45"/>
  <c r="M32" i="68"/>
  <c r="N34" i="68" s="1"/>
  <c r="N51" i="73"/>
  <c r="J31" i="45"/>
  <c r="M35" i="45" s="1"/>
  <c r="K32" i="68"/>
  <c r="J32" i="68"/>
  <c r="K32" i="75"/>
  <c r="N36" i="75" s="1"/>
  <c r="N29" i="82"/>
  <c r="N22" i="82"/>
  <c r="O22" i="82" s="1"/>
  <c r="N20" i="82"/>
  <c r="O20" i="82" s="1"/>
  <c r="E79" i="33"/>
  <c r="E23" i="33"/>
  <c r="D17" i="55"/>
  <c r="D18" i="55" s="1"/>
  <c r="D19" i="55" s="1"/>
  <c r="D20" i="55" s="1"/>
  <c r="D21" i="55" s="1"/>
  <c r="D22" i="55" s="1"/>
  <c r="D23" i="55" s="1"/>
  <c r="D24" i="55" s="1"/>
  <c r="D25" i="55" s="1"/>
  <c r="D26" i="55" s="1"/>
  <c r="D27" i="55" s="1"/>
  <c r="D28" i="55" s="1"/>
  <c r="D29" i="55" s="1"/>
  <c r="D30" i="55" s="1"/>
  <c r="D31" i="55" s="1"/>
  <c r="D32" i="55" s="1"/>
  <c r="D33" i="55" s="1"/>
  <c r="D34" i="55" s="1"/>
  <c r="N17" i="68"/>
  <c r="O17" i="68" s="1"/>
  <c r="N18" i="68"/>
  <c r="N19" i="68"/>
  <c r="O19" i="68" s="1"/>
  <c r="N20" i="68"/>
  <c r="O20" i="68" s="1"/>
  <c r="N21" i="68"/>
  <c r="O21" i="68" s="1"/>
  <c r="P21" i="68" s="1"/>
  <c r="N22" i="68"/>
  <c r="O22" i="68" s="1"/>
  <c r="N23" i="68"/>
  <c r="O23" i="68" s="1"/>
  <c r="N24" i="68"/>
  <c r="O24" i="68" s="1"/>
  <c r="N17" i="82"/>
  <c r="O17" i="82" s="1"/>
  <c r="N24" i="82"/>
  <c r="O24" i="82" s="1"/>
  <c r="N27" i="82"/>
  <c r="N21" i="82"/>
  <c r="O21" i="82" s="1"/>
  <c r="N28" i="82"/>
  <c r="N31" i="82"/>
  <c r="N26" i="82"/>
  <c r="N19" i="82"/>
  <c r="O19" i="82" s="1"/>
  <c r="N18" i="82"/>
  <c r="O18" i="82" s="1"/>
  <c r="N30" i="82"/>
  <c r="N25" i="82"/>
  <c r="N23" i="82"/>
  <c r="O23" i="82" s="1"/>
  <c r="N18" i="67"/>
  <c r="N19" i="67"/>
  <c r="O19" i="67" s="1"/>
  <c r="C19" i="81"/>
  <c r="N18" i="81"/>
  <c r="O18" i="81" s="1"/>
  <c r="C19" i="80"/>
  <c r="N19" i="80" s="1"/>
  <c r="O19" i="80" s="1"/>
  <c r="N18" i="80"/>
  <c r="O18" i="80" s="1"/>
  <c r="C26" i="68"/>
  <c r="N25" i="68"/>
  <c r="O25" i="68" s="1"/>
  <c r="C19" i="75"/>
  <c r="N18" i="75"/>
  <c r="O18" i="75" s="1"/>
  <c r="C19" i="73"/>
  <c r="N18" i="73"/>
  <c r="O18" i="73" s="1"/>
  <c r="C19" i="74"/>
  <c r="N19" i="74" s="1"/>
  <c r="O19" i="74" s="1"/>
  <c r="N18" i="74"/>
  <c r="O18" i="74" s="1"/>
  <c r="C21" i="67"/>
  <c r="N20" i="67"/>
  <c r="O20" i="67" s="1"/>
  <c r="U64" i="35"/>
  <c r="N54" i="36"/>
  <c r="I48" i="74"/>
  <c r="M32" i="74"/>
  <c r="N51" i="74"/>
  <c r="I48" i="68"/>
  <c r="I48" i="73"/>
  <c r="N53" i="67"/>
  <c r="N37" i="67" s="1"/>
  <c r="H20" i="65" s="1"/>
  <c r="N57" i="55"/>
  <c r="N41" i="55" s="1"/>
  <c r="I21" i="35" s="1"/>
  <c r="C20" i="58"/>
  <c r="N20" i="58" s="1"/>
  <c r="I48" i="67"/>
  <c r="I27" i="35"/>
  <c r="E107" i="33"/>
  <c r="L32" i="82"/>
  <c r="L33" i="69"/>
  <c r="O17" i="74"/>
  <c r="M17" i="45"/>
  <c r="N17" i="45" s="1"/>
  <c r="C23" i="55"/>
  <c r="N22" i="55"/>
  <c r="N17" i="55"/>
  <c r="N18" i="55"/>
  <c r="N35" i="81"/>
  <c r="M16" i="45"/>
  <c r="J79" i="33"/>
  <c r="C19" i="36"/>
  <c r="N18" i="36"/>
  <c r="O18" i="36" s="1"/>
  <c r="C19" i="69"/>
  <c r="O18" i="69"/>
  <c r="N20" i="55"/>
  <c r="B23" i="45"/>
  <c r="M22" i="45"/>
  <c r="N22" i="45" s="1"/>
  <c r="N19" i="55"/>
  <c r="N21" i="55"/>
  <c r="J52" i="33"/>
  <c r="O17" i="80"/>
  <c r="J34" i="67"/>
  <c r="K33" i="58"/>
  <c r="N37" i="58" s="1"/>
  <c r="H27" i="59" s="1"/>
  <c r="N16" i="55"/>
  <c r="X67" i="64"/>
  <c r="L32" i="74"/>
  <c r="K32" i="74"/>
  <c r="N36" i="74" s="1"/>
  <c r="I31" i="35"/>
  <c r="I31" i="59"/>
  <c r="F35" i="35"/>
  <c r="G35" i="35" s="1"/>
  <c r="J35" i="35" s="1"/>
  <c r="V35" i="35" s="1"/>
  <c r="K36" i="55"/>
  <c r="N40" i="55" s="1"/>
  <c r="H31" i="35"/>
  <c r="K33" i="36"/>
  <c r="N37" i="36" s="1"/>
  <c r="H20" i="35" s="1"/>
  <c r="K32" i="80"/>
  <c r="N36" i="80" s="1"/>
  <c r="K32" i="82"/>
  <c r="N36" i="82" s="1"/>
  <c r="G40" i="65" s="1"/>
  <c r="B108" i="89" s="1"/>
  <c r="M19" i="45"/>
  <c r="N19" i="45" s="1"/>
  <c r="J33" i="69"/>
  <c r="J35" i="69" s="1"/>
  <c r="J32" i="82"/>
  <c r="J34" i="82" s="1"/>
  <c r="N35" i="82"/>
  <c r="K32" i="81"/>
  <c r="N36" i="81" s="1"/>
  <c r="G42" i="65" s="1"/>
  <c r="B138" i="90" s="1"/>
  <c r="J32" i="81"/>
  <c r="J34" i="81" s="1"/>
  <c r="J32" i="80"/>
  <c r="J34" i="80" s="1"/>
  <c r="J32" i="75"/>
  <c r="J32" i="74"/>
  <c r="J34" i="74" s="1"/>
  <c r="M32" i="73"/>
  <c r="J32" i="73"/>
  <c r="J34" i="73" s="1"/>
  <c r="O17" i="73"/>
  <c r="K32" i="73"/>
  <c r="N36" i="73" s="1"/>
  <c r="F46" i="59"/>
  <c r="G46" i="59" s="1"/>
  <c r="J46" i="59" s="1"/>
  <c r="U46" i="59" s="1"/>
  <c r="F43" i="35"/>
  <c r="G43" i="35" s="1"/>
  <c r="J43" i="35" s="1"/>
  <c r="V43" i="35" s="1"/>
  <c r="N35" i="67"/>
  <c r="D23" i="59"/>
  <c r="D28" i="59"/>
  <c r="I26" i="35"/>
  <c r="I26" i="59"/>
  <c r="F19" i="35"/>
  <c r="F19" i="59"/>
  <c r="K33" i="69"/>
  <c r="N37" i="69" s="1"/>
  <c r="H38" i="35"/>
  <c r="E28" i="35"/>
  <c r="J35" i="58"/>
  <c r="D27" i="59"/>
  <c r="C27" i="64"/>
  <c r="M21" i="45"/>
  <c r="N21" i="45" s="1"/>
  <c r="H28" i="35"/>
  <c r="G40" i="35"/>
  <c r="M20" i="45"/>
  <c r="I67" i="64"/>
  <c r="I19" i="1"/>
  <c r="B20" i="1"/>
  <c r="D43" i="35"/>
  <c r="D46" i="59"/>
  <c r="F38" i="35"/>
  <c r="G38" i="35" s="1"/>
  <c r="D41" i="59"/>
  <c r="J33" i="36"/>
  <c r="D26" i="59"/>
  <c r="J36" i="55"/>
  <c r="I28" i="59"/>
  <c r="I28" i="35"/>
  <c r="M50" i="45"/>
  <c r="H47" i="45"/>
  <c r="I33" i="45"/>
  <c r="B21" i="4"/>
  <c r="I20" i="4"/>
  <c r="F77" i="90" l="1"/>
  <c r="F84" i="90" s="1"/>
  <c r="G85" i="90" s="1"/>
  <c r="N34" i="73"/>
  <c r="E31" i="65" s="1"/>
  <c r="B175" i="90" s="1"/>
  <c r="N34" i="74"/>
  <c r="E30" i="65" s="1"/>
  <c r="B51" i="89" s="1"/>
  <c r="N53" i="80"/>
  <c r="G64" i="65"/>
  <c r="I20" i="65"/>
  <c r="C20" i="80"/>
  <c r="C21" i="80" s="1"/>
  <c r="J36" i="68"/>
  <c r="N33" i="68" s="1"/>
  <c r="N53" i="82"/>
  <c r="M52" i="45"/>
  <c r="M32" i="45" s="1"/>
  <c r="E25" i="35" s="1"/>
  <c r="J34" i="68"/>
  <c r="N35" i="68"/>
  <c r="N53" i="68"/>
  <c r="N37" i="68" s="1"/>
  <c r="AB46" i="65"/>
  <c r="AD46" i="65" s="1"/>
  <c r="J34" i="75"/>
  <c r="N53" i="75"/>
  <c r="N53" i="73"/>
  <c r="N53" i="74"/>
  <c r="H30" i="65" s="1"/>
  <c r="B47" i="89" s="1"/>
  <c r="N53" i="81"/>
  <c r="C20" i="74"/>
  <c r="C21" i="74" s="1"/>
  <c r="C20" i="81"/>
  <c r="N19" i="81"/>
  <c r="O19" i="81" s="1"/>
  <c r="C27" i="68"/>
  <c r="N26" i="68"/>
  <c r="O26" i="68" s="1"/>
  <c r="C20" i="75"/>
  <c r="N19" i="75"/>
  <c r="O19" i="75" s="1"/>
  <c r="C20" i="73"/>
  <c r="N19" i="73"/>
  <c r="O19" i="73" s="1"/>
  <c r="C22" i="67"/>
  <c r="N21" i="67"/>
  <c r="O21" i="67" s="1"/>
  <c r="P21" i="67" s="1"/>
  <c r="N38" i="36"/>
  <c r="N34" i="36"/>
  <c r="E20" i="35" s="1"/>
  <c r="E64" i="35" s="1"/>
  <c r="C21" i="58"/>
  <c r="C22" i="58" s="1"/>
  <c r="C23" i="58" s="1"/>
  <c r="C24" i="58" s="1"/>
  <c r="N24" i="58" s="1"/>
  <c r="O19" i="69"/>
  <c r="C20" i="69"/>
  <c r="C24" i="55"/>
  <c r="N23" i="55"/>
  <c r="C25" i="58"/>
  <c r="C26" i="58" s="1"/>
  <c r="N26" i="58" s="1"/>
  <c r="B24" i="45"/>
  <c r="M24" i="45" s="1"/>
  <c r="N24" i="45" s="1"/>
  <c r="M23" i="45"/>
  <c r="N23" i="45" s="1"/>
  <c r="C20" i="36"/>
  <c r="N19" i="36"/>
  <c r="O25" i="82"/>
  <c r="H27" i="35"/>
  <c r="P22" i="82"/>
  <c r="J38" i="35"/>
  <c r="V38" i="35" s="1"/>
  <c r="G19" i="35"/>
  <c r="J19" i="35" s="1"/>
  <c r="V19" i="35" s="1"/>
  <c r="F28" i="59"/>
  <c r="G28" i="59" s="1"/>
  <c r="J28" i="59" s="1"/>
  <c r="U28" i="59" s="1"/>
  <c r="F28" i="35"/>
  <c r="G28" i="35" s="1"/>
  <c r="J28" i="35" s="1"/>
  <c r="V28" i="35" s="1"/>
  <c r="F26" i="59"/>
  <c r="G26" i="59" s="1"/>
  <c r="J26" i="59" s="1"/>
  <c r="U26" i="59" s="1"/>
  <c r="F26" i="35"/>
  <c r="G26" i="35" s="1"/>
  <c r="J26" i="35" s="1"/>
  <c r="V26" i="35" s="1"/>
  <c r="B21" i="1"/>
  <c r="I20" i="1"/>
  <c r="F27" i="59"/>
  <c r="G27" i="59" s="1"/>
  <c r="J27" i="59" s="1"/>
  <c r="U27" i="59" s="1"/>
  <c r="F27" i="35"/>
  <c r="G27" i="35" s="1"/>
  <c r="N16" i="45"/>
  <c r="B22" i="4"/>
  <c r="I21" i="4"/>
  <c r="F25" i="59"/>
  <c r="G25" i="59" s="1"/>
  <c r="F25" i="35"/>
  <c r="H40" i="35"/>
  <c r="J40" i="35" s="1"/>
  <c r="V40" i="35" s="1"/>
  <c r="J35" i="36"/>
  <c r="D20" i="59"/>
  <c r="F23" i="35"/>
  <c r="G23" i="35" s="1"/>
  <c r="J23" i="35" s="1"/>
  <c r="V23" i="35" s="1"/>
  <c r="F23" i="59"/>
  <c r="G23" i="59" s="1"/>
  <c r="J23" i="59" s="1"/>
  <c r="U23" i="59" s="1"/>
  <c r="D31" i="59"/>
  <c r="J38" i="55"/>
  <c r="D21" i="59"/>
  <c r="H25" i="35"/>
  <c r="H25" i="59"/>
  <c r="H67" i="59" s="1"/>
  <c r="G19" i="59"/>
  <c r="J19" i="59" s="1"/>
  <c r="U19" i="59" s="1"/>
  <c r="F31" i="59"/>
  <c r="G31" i="59" s="1"/>
  <c r="J31" i="59" s="1"/>
  <c r="U31" i="59" s="1"/>
  <c r="N23" i="58" l="1"/>
  <c r="H42" i="65"/>
  <c r="N37" i="82"/>
  <c r="H40" i="65" s="1"/>
  <c r="N33" i="75"/>
  <c r="D32" i="65" s="1"/>
  <c r="H32" i="65"/>
  <c r="B109" i="90" s="1"/>
  <c r="N35" i="75"/>
  <c r="N33" i="73"/>
  <c r="H31" i="65"/>
  <c r="B171" i="90" s="1"/>
  <c r="N20" i="80"/>
  <c r="O20" i="80" s="1"/>
  <c r="M36" i="45"/>
  <c r="I25" i="59" s="1"/>
  <c r="J25" i="59" s="1"/>
  <c r="U25" i="59" s="1"/>
  <c r="U20" i="65"/>
  <c r="N38" i="68"/>
  <c r="N21" i="58"/>
  <c r="N22" i="58"/>
  <c r="AB29" i="65"/>
  <c r="AD29" i="65" s="1"/>
  <c r="N20" i="74"/>
  <c r="O20" i="74" s="1"/>
  <c r="C21" i="81"/>
  <c r="N20" i="81"/>
  <c r="O20" i="81" s="1"/>
  <c r="C22" i="80"/>
  <c r="N21" i="80"/>
  <c r="O21" i="80" s="1"/>
  <c r="C28" i="68"/>
  <c r="N27" i="68"/>
  <c r="O27" i="68" s="1"/>
  <c r="P27" i="68" s="1"/>
  <c r="C21" i="75"/>
  <c r="N20" i="75"/>
  <c r="O20" i="75" s="1"/>
  <c r="C21" i="73"/>
  <c r="N20" i="73"/>
  <c r="O20" i="73" s="1"/>
  <c r="C22" i="74"/>
  <c r="N21" i="74"/>
  <c r="O21" i="74" s="1"/>
  <c r="C23" i="67"/>
  <c r="N22" i="67"/>
  <c r="O22" i="67" s="1"/>
  <c r="G25" i="35"/>
  <c r="M34" i="45"/>
  <c r="M37" i="45" s="1"/>
  <c r="I25" i="35"/>
  <c r="O35" i="36"/>
  <c r="I20" i="59"/>
  <c r="I67" i="59" s="1"/>
  <c r="I20" i="35"/>
  <c r="I64" i="35" s="1"/>
  <c r="O38" i="36"/>
  <c r="B25" i="45"/>
  <c r="B26" i="45" s="1"/>
  <c r="N25" i="58"/>
  <c r="C27" i="58"/>
  <c r="O26" i="82"/>
  <c r="C25" i="55"/>
  <c r="N24" i="55"/>
  <c r="C21" i="36"/>
  <c r="N21" i="36" s="1"/>
  <c r="N20" i="36"/>
  <c r="C21" i="69"/>
  <c r="O20" i="69"/>
  <c r="H64" i="35"/>
  <c r="J27" i="35"/>
  <c r="V27" i="35" s="1"/>
  <c r="F21" i="59"/>
  <c r="G21" i="59" s="1"/>
  <c r="J21" i="59" s="1"/>
  <c r="U21" i="59" s="1"/>
  <c r="F21" i="35"/>
  <c r="G21" i="35" s="1"/>
  <c r="J21" i="35" s="1"/>
  <c r="V21" i="35" s="1"/>
  <c r="B23" i="4"/>
  <c r="I22" i="4"/>
  <c r="B22" i="1"/>
  <c r="I22" i="1" s="1"/>
  <c r="I21" i="1"/>
  <c r="F20" i="59"/>
  <c r="F20" i="35"/>
  <c r="N36" i="36"/>
  <c r="N39" i="36" s="1"/>
  <c r="F31" i="35"/>
  <c r="G31" i="35" s="1"/>
  <c r="J31" i="35" s="1"/>
  <c r="V31" i="35" s="1"/>
  <c r="N33" i="80" l="1"/>
  <c r="D41" i="65" s="1"/>
  <c r="F44" i="89" s="1"/>
  <c r="H41" i="65"/>
  <c r="F47" i="89" s="1"/>
  <c r="B139" i="90"/>
  <c r="B146" i="90" s="1"/>
  <c r="C147" i="90" s="1"/>
  <c r="I42" i="65"/>
  <c r="U42" i="65" s="1"/>
  <c r="Y42" i="65" s="1"/>
  <c r="AB42" i="65" s="1"/>
  <c r="AD42" i="65" s="1"/>
  <c r="N38" i="81"/>
  <c r="B109" i="89"/>
  <c r="B116" i="89" s="1"/>
  <c r="C117" i="89" s="1"/>
  <c r="I40" i="65"/>
  <c r="U40" i="65" s="1"/>
  <c r="Y40" i="65" s="1"/>
  <c r="N38" i="82"/>
  <c r="B106" i="90"/>
  <c r="B116" i="90" s="1"/>
  <c r="C117" i="90" s="1"/>
  <c r="F32" i="65"/>
  <c r="I32" i="65" s="1"/>
  <c r="U32" i="65" s="1"/>
  <c r="Y32" i="65" s="1"/>
  <c r="AB32" i="65" s="1"/>
  <c r="AD32" i="65" s="1"/>
  <c r="H64" i="65"/>
  <c r="N35" i="74"/>
  <c r="N38" i="74" s="1"/>
  <c r="D30" i="65"/>
  <c r="N35" i="73"/>
  <c r="N38" i="73" s="1"/>
  <c r="D31" i="65"/>
  <c r="Y20" i="65"/>
  <c r="J25" i="35"/>
  <c r="V25" i="35" s="1"/>
  <c r="C22" i="81"/>
  <c r="N21" i="81"/>
  <c r="O21" i="81" s="1"/>
  <c r="C23" i="80"/>
  <c r="N22" i="80"/>
  <c r="O22" i="80" s="1"/>
  <c r="P22" i="80" s="1"/>
  <c r="C29" i="68"/>
  <c r="N28" i="68"/>
  <c r="O28" i="68" s="1"/>
  <c r="C22" i="75"/>
  <c r="N21" i="75"/>
  <c r="O21" i="75" s="1"/>
  <c r="C22" i="73"/>
  <c r="N21" i="73"/>
  <c r="O21" i="73" s="1"/>
  <c r="C23" i="74"/>
  <c r="N22" i="74"/>
  <c r="O22" i="74" s="1"/>
  <c r="P22" i="74" s="1"/>
  <c r="C24" i="67"/>
  <c r="N23" i="67"/>
  <c r="M25" i="45"/>
  <c r="N25" i="45" s="1"/>
  <c r="C28" i="58"/>
  <c r="N27" i="58"/>
  <c r="C22" i="36"/>
  <c r="O21" i="36"/>
  <c r="C26" i="55"/>
  <c r="N25" i="55"/>
  <c r="C22" i="69"/>
  <c r="O21" i="69"/>
  <c r="O27" i="82"/>
  <c r="B27" i="45"/>
  <c r="M26" i="45"/>
  <c r="N26" i="45" s="1"/>
  <c r="I24" i="1"/>
  <c r="N35" i="69"/>
  <c r="N36" i="69" s="1"/>
  <c r="N39" i="69" s="1"/>
  <c r="G20" i="35"/>
  <c r="J20" i="35" s="1"/>
  <c r="V20" i="35" s="1"/>
  <c r="V64" i="35" s="1"/>
  <c r="F64" i="35"/>
  <c r="G64" i="35" s="1"/>
  <c r="G20" i="59"/>
  <c r="J20" i="59" s="1"/>
  <c r="U20" i="59" s="1"/>
  <c r="U67" i="59" s="1"/>
  <c r="F67" i="59"/>
  <c r="G67" i="59" s="1"/>
  <c r="I23" i="4"/>
  <c r="B24" i="4"/>
  <c r="F30" i="65" l="1"/>
  <c r="I30" i="65" s="1"/>
  <c r="U30" i="65" s="1"/>
  <c r="Y30" i="65" s="1"/>
  <c r="AB30" i="65" s="1"/>
  <c r="AD30" i="65" s="1"/>
  <c r="B44" i="89"/>
  <c r="B54" i="89" s="1"/>
  <c r="C55" i="89" s="1"/>
  <c r="F31" i="65"/>
  <c r="I31" i="65" s="1"/>
  <c r="U31" i="65" s="1"/>
  <c r="Y31" i="65" s="1"/>
  <c r="AB31" i="65" s="1"/>
  <c r="AD31" i="65" s="1"/>
  <c r="B168" i="90"/>
  <c r="B178" i="90" s="1"/>
  <c r="C179" i="90" s="1"/>
  <c r="D64" i="65"/>
  <c r="AB20" i="65"/>
  <c r="AD20" i="65" s="1"/>
  <c r="O23" i="67"/>
  <c r="C23" i="81"/>
  <c r="N22" i="81"/>
  <c r="O22" i="81" s="1"/>
  <c r="P22" i="81" s="1"/>
  <c r="N23" i="80"/>
  <c r="O23" i="80" s="1"/>
  <c r="C24" i="80"/>
  <c r="C30" i="68"/>
  <c r="N29" i="68"/>
  <c r="O29" i="68" s="1"/>
  <c r="C23" i="75"/>
  <c r="N22" i="75"/>
  <c r="O22" i="75" s="1"/>
  <c r="P22" i="75" s="1"/>
  <c r="N22" i="73"/>
  <c r="O22" i="73" s="1"/>
  <c r="P22" i="73" s="1"/>
  <c r="C23" i="73"/>
  <c r="C24" i="74"/>
  <c r="N23" i="74"/>
  <c r="O23" i="74" s="1"/>
  <c r="C25" i="67"/>
  <c r="N24" i="67"/>
  <c r="O24" i="67" s="1"/>
  <c r="N28" i="58"/>
  <c r="C29" i="58"/>
  <c r="O28" i="82"/>
  <c r="C23" i="69"/>
  <c r="O22" i="69"/>
  <c r="P22" i="69" s="1"/>
  <c r="C27" i="55"/>
  <c r="N26" i="55"/>
  <c r="C23" i="36"/>
  <c r="N22" i="36"/>
  <c r="O22" i="36" s="1"/>
  <c r="B28" i="45"/>
  <c r="M27" i="45"/>
  <c r="B25" i="4"/>
  <c r="I24" i="4"/>
  <c r="N38" i="67" l="1"/>
  <c r="C24" i="81"/>
  <c r="N23" i="81"/>
  <c r="O23" i="81" s="1"/>
  <c r="N24" i="80"/>
  <c r="O24" i="80" s="1"/>
  <c r="C25" i="80"/>
  <c r="C31" i="68"/>
  <c r="N30" i="68"/>
  <c r="O30" i="68" s="1"/>
  <c r="C24" i="75"/>
  <c r="N23" i="75"/>
  <c r="O23" i="75" s="1"/>
  <c r="C24" i="73"/>
  <c r="N23" i="73"/>
  <c r="O23" i="73" s="1"/>
  <c r="C25" i="74"/>
  <c r="N24" i="74"/>
  <c r="O24" i="74" s="1"/>
  <c r="C26" i="67"/>
  <c r="N25" i="67"/>
  <c r="O25" i="67" s="1"/>
  <c r="N29" i="58"/>
  <c r="C30" i="58"/>
  <c r="N23" i="36"/>
  <c r="O23" i="36" s="1"/>
  <c r="C24" i="36"/>
  <c r="C24" i="69"/>
  <c r="O23" i="69"/>
  <c r="C28" i="55"/>
  <c r="N27" i="55"/>
  <c r="O29" i="82"/>
  <c r="P29" i="82" s="1"/>
  <c r="B29" i="45"/>
  <c r="M28" i="45"/>
  <c r="N28" i="45" s="1"/>
  <c r="N38" i="75"/>
  <c r="N27" i="45"/>
  <c r="B26" i="4"/>
  <c r="I25" i="4"/>
  <c r="N31" i="68" l="1"/>
  <c r="O31" i="68" s="1"/>
  <c r="N24" i="81"/>
  <c r="O24" i="81" s="1"/>
  <c r="C25" i="81"/>
  <c r="N25" i="80"/>
  <c r="O25" i="80" s="1"/>
  <c r="C26" i="80"/>
  <c r="N24" i="75"/>
  <c r="O24" i="75" s="1"/>
  <c r="C25" i="75"/>
  <c r="N24" i="73"/>
  <c r="O24" i="73" s="1"/>
  <c r="C25" i="73"/>
  <c r="C26" i="74"/>
  <c r="N25" i="74"/>
  <c r="O25" i="74" s="1"/>
  <c r="N26" i="67"/>
  <c r="O26" i="67" s="1"/>
  <c r="C27" i="67"/>
  <c r="C31" i="58"/>
  <c r="N31" i="58" s="1"/>
  <c r="N30" i="58"/>
  <c r="N28" i="55"/>
  <c r="C29" i="55"/>
  <c r="C25" i="69"/>
  <c r="O24" i="69"/>
  <c r="N24" i="36"/>
  <c r="O24" i="36" s="1"/>
  <c r="C25" i="36"/>
  <c r="O30" i="82"/>
  <c r="M29" i="45"/>
  <c r="B30" i="45"/>
  <c r="B27" i="4"/>
  <c r="I26" i="4"/>
  <c r="O33" i="68" l="1"/>
  <c r="O32" i="68"/>
  <c r="N29" i="55"/>
  <c r="C30" i="55"/>
  <c r="C26" i="81"/>
  <c r="N25" i="81"/>
  <c r="O25" i="81" s="1"/>
  <c r="N26" i="80"/>
  <c r="O26" i="80" s="1"/>
  <c r="C27" i="80"/>
  <c r="C26" i="75"/>
  <c r="N25" i="75"/>
  <c r="O25" i="75" s="1"/>
  <c r="C26" i="73"/>
  <c r="N25" i="73"/>
  <c r="O25" i="73" s="1"/>
  <c r="N26" i="74"/>
  <c r="O26" i="74" s="1"/>
  <c r="C27" i="74"/>
  <c r="C28" i="67"/>
  <c r="N27" i="67"/>
  <c r="O27" i="67" s="1"/>
  <c r="P27" i="67" s="1"/>
  <c r="N42" i="55"/>
  <c r="N36" i="58"/>
  <c r="N39" i="58" s="1"/>
  <c r="N25" i="36"/>
  <c r="O25" i="36" s="1"/>
  <c r="C26" i="36"/>
  <c r="M30" i="45"/>
  <c r="N30" i="45" s="1"/>
  <c r="O31" i="82"/>
  <c r="C26" i="69"/>
  <c r="O25" i="69"/>
  <c r="N29" i="45"/>
  <c r="B28" i="4"/>
  <c r="I27" i="4"/>
  <c r="O34" i="68" l="1"/>
  <c r="C31" i="55"/>
  <c r="N30" i="55"/>
  <c r="C27" i="81"/>
  <c r="N26" i="81"/>
  <c r="O26" i="81" s="1"/>
  <c r="N27" i="80"/>
  <c r="O27" i="80" s="1"/>
  <c r="C28" i="80"/>
  <c r="C27" i="75"/>
  <c r="N26" i="75"/>
  <c r="O26" i="75" s="1"/>
  <c r="C27" i="73"/>
  <c r="N26" i="73"/>
  <c r="O26" i="73" s="1"/>
  <c r="C28" i="74"/>
  <c r="N27" i="74"/>
  <c r="O27" i="74" s="1"/>
  <c r="C29" i="67"/>
  <c r="N28" i="67"/>
  <c r="O28" i="67" s="1"/>
  <c r="N31" i="45"/>
  <c r="P31" i="82"/>
  <c r="P32" i="82" s="1"/>
  <c r="O32" i="82"/>
  <c r="C27" i="36"/>
  <c r="N26" i="36"/>
  <c r="O26" i="36" s="1"/>
  <c r="C27" i="69"/>
  <c r="O26" i="69"/>
  <c r="B29" i="4"/>
  <c r="I29" i="4" s="1"/>
  <c r="I28" i="4"/>
  <c r="C32" i="55" l="1"/>
  <c r="N31" i="55"/>
  <c r="N27" i="81"/>
  <c r="O27" i="81" s="1"/>
  <c r="C28" i="81"/>
  <c r="N28" i="80"/>
  <c r="O28" i="80" s="1"/>
  <c r="C29" i="80"/>
  <c r="N27" i="75"/>
  <c r="O27" i="75" s="1"/>
  <c r="C28" i="75"/>
  <c r="C28" i="73"/>
  <c r="N27" i="73"/>
  <c r="O27" i="73" s="1"/>
  <c r="C29" i="74"/>
  <c r="N28" i="74"/>
  <c r="O28" i="74" s="1"/>
  <c r="C30" i="67"/>
  <c r="N29" i="67"/>
  <c r="O29" i="67" s="1"/>
  <c r="N32" i="45"/>
  <c r="C28" i="36"/>
  <c r="N27" i="36"/>
  <c r="O27" i="36" s="1"/>
  <c r="C28" i="69"/>
  <c r="O27" i="69"/>
  <c r="O34" i="82"/>
  <c r="Q32" i="82"/>
  <c r="I31" i="4"/>
  <c r="C33" i="55" l="1"/>
  <c r="N32" i="55"/>
  <c r="N28" i="81"/>
  <c r="O28" i="81" s="1"/>
  <c r="C29" i="81"/>
  <c r="N29" i="80"/>
  <c r="O29" i="80" s="1"/>
  <c r="P29" i="80" s="1"/>
  <c r="C30" i="80"/>
  <c r="N28" i="75"/>
  <c r="O28" i="75" s="1"/>
  <c r="C29" i="75"/>
  <c r="N28" i="73"/>
  <c r="O28" i="73" s="1"/>
  <c r="C29" i="73"/>
  <c r="N29" i="74"/>
  <c r="O29" i="74" s="1"/>
  <c r="P29" i="74" s="1"/>
  <c r="C30" i="74"/>
  <c r="C31" i="67"/>
  <c r="N30" i="67"/>
  <c r="O30" i="67" s="1"/>
  <c r="C29" i="69"/>
  <c r="O28" i="69"/>
  <c r="N28" i="36"/>
  <c r="O28" i="36" s="1"/>
  <c r="C29" i="36"/>
  <c r="N33" i="55" l="1"/>
  <c r="C34" i="55"/>
  <c r="N34" i="55" s="1"/>
  <c r="N29" i="81"/>
  <c r="O29" i="81" s="1"/>
  <c r="P29" i="81" s="1"/>
  <c r="C30" i="81"/>
  <c r="N30" i="80"/>
  <c r="O30" i="80" s="1"/>
  <c r="C31" i="80"/>
  <c r="C30" i="75"/>
  <c r="N29" i="75"/>
  <c r="O29" i="75" s="1"/>
  <c r="P29" i="75" s="1"/>
  <c r="N29" i="73"/>
  <c r="O29" i="73" s="1"/>
  <c r="P29" i="73" s="1"/>
  <c r="C30" i="73"/>
  <c r="N30" i="74"/>
  <c r="O30" i="74" s="1"/>
  <c r="C31" i="74"/>
  <c r="N31" i="67"/>
  <c r="C30" i="36"/>
  <c r="N30" i="36" s="1"/>
  <c r="N29" i="36"/>
  <c r="O29" i="36" s="1"/>
  <c r="C30" i="69"/>
  <c r="O29" i="69"/>
  <c r="P29" i="69" s="1"/>
  <c r="N31" i="80" l="1"/>
  <c r="N31" i="74"/>
  <c r="O31" i="74" s="1"/>
  <c r="O32" i="74" s="1"/>
  <c r="N30" i="81"/>
  <c r="O30" i="81" s="1"/>
  <c r="C31" i="81"/>
  <c r="N30" i="75"/>
  <c r="O30" i="75" s="1"/>
  <c r="C31" i="75"/>
  <c r="N30" i="73"/>
  <c r="O30" i="73" s="1"/>
  <c r="C31" i="73"/>
  <c r="O33" i="67"/>
  <c r="O32" i="67"/>
  <c r="O31" i="67"/>
  <c r="O30" i="36"/>
  <c r="C31" i="36"/>
  <c r="O30" i="69"/>
  <c r="C31" i="69"/>
  <c r="N31" i="81" l="1"/>
  <c r="O31" i="81" s="1"/>
  <c r="P31" i="81" s="1"/>
  <c r="P32" i="81" s="1"/>
  <c r="N31" i="75"/>
  <c r="O31" i="75" s="1"/>
  <c r="P31" i="75" s="1"/>
  <c r="P32" i="75" s="1"/>
  <c r="N31" i="73"/>
  <c r="O31" i="73" s="1"/>
  <c r="P31" i="73" s="1"/>
  <c r="P32" i="73" s="1"/>
  <c r="P31" i="74"/>
  <c r="P32" i="74" s="1"/>
  <c r="Q32" i="74" s="1"/>
  <c r="O34" i="67"/>
  <c r="O34" i="74"/>
  <c r="N31" i="36"/>
  <c r="O31" i="36" s="1"/>
  <c r="O34" i="36" s="1"/>
  <c r="O31" i="69"/>
  <c r="O32" i="81" l="1"/>
  <c r="O34" i="81" s="1"/>
  <c r="O32" i="75"/>
  <c r="O34" i="75" s="1"/>
  <c r="O32" i="73"/>
  <c r="Q32" i="73" s="1"/>
  <c r="P31" i="69"/>
  <c r="P33" i="69" s="1"/>
  <c r="O33" i="69"/>
  <c r="O37" i="36"/>
  <c r="O39" i="36" s="1"/>
  <c r="P34" i="36"/>
  <c r="Q32" i="81" l="1"/>
  <c r="Q32" i="75"/>
  <c r="O34" i="73"/>
  <c r="O35" i="69"/>
  <c r="Q33" i="69"/>
  <c r="M32" i="80"/>
  <c r="O31" i="80"/>
  <c r="P31" i="80" s="1"/>
  <c r="P32" i="80" s="1"/>
  <c r="E41" i="65" l="1"/>
  <c r="O32" i="80"/>
  <c r="O34" i="80" s="1"/>
  <c r="F41" i="65" l="1"/>
  <c r="F51" i="89"/>
  <c r="F54" i="89" s="1"/>
  <c r="G55" i="89" s="1"/>
  <c r="E64" i="65"/>
  <c r="N35" i="80"/>
  <c r="N38" i="80" s="1"/>
  <c r="Q32" i="80"/>
  <c r="I41" i="65" l="1"/>
  <c r="F64" i="65"/>
  <c r="J32" i="99"/>
  <c r="J34" i="99" s="1"/>
  <c r="O29" i="99"/>
  <c r="U41" i="65" l="1"/>
  <c r="I64" i="65"/>
  <c r="P29" i="99"/>
  <c r="P32" i="99" s="1"/>
  <c r="O32" i="99"/>
  <c r="Y41" i="65" l="1"/>
  <c r="U64" i="65"/>
  <c r="U67" i="65" s="1"/>
  <c r="Q32" i="99"/>
  <c r="O34" i="99"/>
  <c r="AB41" i="65" l="1"/>
  <c r="AD41" i="65" s="1"/>
  <c r="Y64" i="65"/>
  <c r="Y67" i="65" s="1"/>
  <c r="W67" i="65"/>
  <c r="Z40" i="65" s="1"/>
  <c r="Z64" i="65" l="1"/>
  <c r="Z67" i="65" s="1"/>
  <c r="AA67" i="65"/>
  <c r="AB40" i="65" l="1"/>
  <c r="AD40" i="65" s="1"/>
  <c r="N38" i="95"/>
  <c r="AB64" i="65" l="1"/>
  <c r="AB67" i="65" s="1"/>
  <c r="AD64" i="65" l="1"/>
  <c r="AD67" i="65" s="1"/>
  <c r="D19" i="73"/>
  <c r="D20" i="73" s="1"/>
  <c r="D21" i="73" s="1"/>
  <c r="D22" i="73" s="1"/>
  <c r="D23" i="73" s="1"/>
  <c r="D24" i="73" s="1"/>
  <c r="D25" i="73" s="1"/>
  <c r="D26" i="73" s="1"/>
  <c r="D27" i="73" s="1"/>
  <c r="D28" i="73" s="1"/>
  <c r="D29" i="73" s="1"/>
  <c r="D30" i="73" s="1"/>
  <c r="D31" i="73" s="1"/>
</calcChain>
</file>

<file path=xl/sharedStrings.xml><?xml version="1.0" encoding="utf-8"?>
<sst xmlns="http://schemas.openxmlformats.org/spreadsheetml/2006/main" count="5344" uniqueCount="462">
  <si>
    <t>Weekly TimeSheet Calculator</t>
  </si>
  <si>
    <t>Wayne Enterprise</t>
  </si>
  <si>
    <t>How to use this template</t>
  </si>
  <si>
    <t>Employee Name:</t>
  </si>
  <si>
    <t>Alfred Pennyworth</t>
  </si>
  <si>
    <t>Department:</t>
  </si>
  <si>
    <t>Housekeeping</t>
  </si>
  <si>
    <t>Visit TrumpExcel.com for more Excel Templates</t>
  </si>
  <si>
    <t>First Line Manager:</t>
  </si>
  <si>
    <t>Bruce Wayne</t>
  </si>
  <si>
    <t>Year</t>
  </si>
  <si>
    <t>Month</t>
  </si>
  <si>
    <t>Date</t>
  </si>
  <si>
    <t>Weekend</t>
  </si>
  <si>
    <t>February</t>
  </si>
  <si>
    <t>Sat &amp; Sun</t>
  </si>
  <si>
    <t>Start Time</t>
  </si>
  <si>
    <t>Regular Hours</t>
  </si>
  <si>
    <t>Regular Pay (hourly)</t>
  </si>
  <si>
    <t>Overtime Pay (hourly)</t>
  </si>
  <si>
    <t>Day</t>
  </si>
  <si>
    <t>In Time</t>
  </si>
  <si>
    <t>Out Time</t>
  </si>
  <si>
    <t>Break Hrs</t>
  </si>
  <si>
    <t>Regular Hrs</t>
  </si>
  <si>
    <t>OT Hours</t>
  </si>
  <si>
    <t>Total Pay</t>
  </si>
  <si>
    <t>Weekly Summary</t>
  </si>
  <si>
    <t>[Company Name]</t>
  </si>
  <si>
    <t>April</t>
  </si>
  <si>
    <t>Bi-weekly Summary</t>
  </si>
  <si>
    <t xml:space="preserve">BACS CONSTRUCTION SERVICES AND ENGINEERING CONSULTANCY </t>
  </si>
  <si>
    <t xml:space="preserve">PAYROLL SUMMARY </t>
  </si>
  <si>
    <t xml:space="preserve">COVERED DATE : </t>
  </si>
  <si>
    <t>AUG. 11-25, 2022</t>
  </si>
  <si>
    <t xml:space="preserve">PERIOD : </t>
  </si>
  <si>
    <t>NAME</t>
  </si>
  <si>
    <t xml:space="preserve">DESIGNATION </t>
  </si>
  <si>
    <t>Hours/Days</t>
  </si>
  <si>
    <t xml:space="preserve">Basic Pay </t>
  </si>
  <si>
    <t xml:space="preserve">Less: Absent, Late and Undertime </t>
  </si>
  <si>
    <t xml:space="preserve">Total Basic Pay </t>
  </si>
  <si>
    <t xml:space="preserve">Overtime </t>
  </si>
  <si>
    <t xml:space="preserve">Holiday &amp; Premium Pay </t>
  </si>
  <si>
    <t>GROSS WAGE</t>
  </si>
  <si>
    <t>De Minimis</t>
  </si>
  <si>
    <t>DEDUCTIONS</t>
  </si>
  <si>
    <t>TOTAL DEDUCTION</t>
  </si>
  <si>
    <t>NET PAY</t>
  </si>
  <si>
    <t>PHIC</t>
  </si>
  <si>
    <t>HDMF</t>
  </si>
  <si>
    <t>INSURANCE</t>
  </si>
  <si>
    <t>Income Tax</t>
  </si>
  <si>
    <t>COMM. ALLOWANCE</t>
  </si>
  <si>
    <t>Other Deduction</t>
  </si>
  <si>
    <t>SSS Loan</t>
  </si>
  <si>
    <t>CASH ADVANCE/LOAN</t>
  </si>
  <si>
    <t>FOR RETRO</t>
  </si>
  <si>
    <t>BPI</t>
  </si>
  <si>
    <t>Bacosa , Cesario Jr</t>
  </si>
  <si>
    <t xml:space="preserve">CEO/ PRESIDENT </t>
  </si>
  <si>
    <t xml:space="preserve">Villegas, Gabby G. </t>
  </si>
  <si>
    <t xml:space="preserve">Project Manager </t>
  </si>
  <si>
    <t>Germina, Mark Jayson H</t>
  </si>
  <si>
    <t xml:space="preserve">Operation Manager </t>
  </si>
  <si>
    <t xml:space="preserve">Beltran, Lyn M. </t>
  </si>
  <si>
    <t xml:space="preserve">Admin Manager </t>
  </si>
  <si>
    <t xml:space="preserve">Bacosa, Katherine J. </t>
  </si>
  <si>
    <t xml:space="preserve">Finance Manager </t>
  </si>
  <si>
    <t xml:space="preserve">PROJECT MANAGEMENT </t>
  </si>
  <si>
    <t xml:space="preserve">Bocala, Kevin O. </t>
  </si>
  <si>
    <t xml:space="preserve">Technical Head </t>
  </si>
  <si>
    <t xml:space="preserve">Comoso, Mayca </t>
  </si>
  <si>
    <t xml:space="preserve">Office Staff </t>
  </si>
  <si>
    <t xml:space="preserve">Dagot, Gie Boy </t>
  </si>
  <si>
    <t>Technical Staff</t>
  </si>
  <si>
    <t xml:space="preserve">Sucia, Van Lloyd </t>
  </si>
  <si>
    <t>Malazarte, Jan Kayle Mari</t>
  </si>
  <si>
    <t xml:space="preserve">Soledad, Princess Joy </t>
  </si>
  <si>
    <t>Project Survey Head</t>
  </si>
  <si>
    <t>Batul, Shajanli Grace</t>
  </si>
  <si>
    <t>Procurement Officer</t>
  </si>
  <si>
    <t>Juanich, Paul Jerome</t>
  </si>
  <si>
    <t>Draftsman</t>
  </si>
  <si>
    <t>Manaeg, Harold</t>
  </si>
  <si>
    <t>Alejandrino, Rey Mark</t>
  </si>
  <si>
    <t>Laboratory Operator</t>
  </si>
  <si>
    <t>Paredes, Matthew</t>
  </si>
  <si>
    <t xml:space="preserve">Part Time Draftsman </t>
  </si>
  <si>
    <t xml:space="preserve">ADMIN </t>
  </si>
  <si>
    <t xml:space="preserve">Gaid, Dorabel Y. </t>
  </si>
  <si>
    <t xml:space="preserve">Admin Assistant </t>
  </si>
  <si>
    <t>Guerzo, Jovelyn H.</t>
  </si>
  <si>
    <t>EHS Head</t>
  </si>
  <si>
    <t xml:space="preserve">Jamelo, Elfren </t>
  </si>
  <si>
    <t>Amansinaya In-charge</t>
  </si>
  <si>
    <t>Macatangay, Michael</t>
  </si>
  <si>
    <t>Company Driver</t>
  </si>
  <si>
    <t xml:space="preserve">Galedo, Joshua </t>
  </si>
  <si>
    <t>General Services Staff</t>
  </si>
  <si>
    <t>Aurelio, Roderic</t>
  </si>
  <si>
    <t>Utility</t>
  </si>
  <si>
    <t>FINANCE</t>
  </si>
  <si>
    <t>Acompañado, Nancy</t>
  </si>
  <si>
    <t xml:space="preserve">A/R Officer </t>
  </si>
  <si>
    <t>Consuelo, Regine</t>
  </si>
  <si>
    <t xml:space="preserve">Finance Assistant </t>
  </si>
  <si>
    <t>Dobleros, Reden</t>
  </si>
  <si>
    <t>Accounting Clerk</t>
  </si>
  <si>
    <t xml:space="preserve">OPERATION </t>
  </si>
  <si>
    <t>Cayapas, Reymond I</t>
  </si>
  <si>
    <t>Project Team Leader</t>
  </si>
  <si>
    <t>Morados, Moses</t>
  </si>
  <si>
    <t>Laborer</t>
  </si>
  <si>
    <t>Suprecencia, Melvin</t>
  </si>
  <si>
    <t>Project Supervisor</t>
  </si>
  <si>
    <t>12D</t>
  </si>
  <si>
    <t>Mitchell, Rey John</t>
  </si>
  <si>
    <t>Samog-oy, Christian Paul</t>
  </si>
  <si>
    <t>Apgao, Edel John</t>
  </si>
  <si>
    <t>Delos Santos, Gemar</t>
  </si>
  <si>
    <t>Basig, Froilan</t>
  </si>
  <si>
    <t>Abis, Oscar</t>
  </si>
  <si>
    <t>Hilado, Jonathan</t>
  </si>
  <si>
    <t>Lagrosa, Noibo</t>
  </si>
  <si>
    <t>Badang, Jayson</t>
  </si>
  <si>
    <t>Becaro, Ronald</t>
  </si>
  <si>
    <t>Gallo, Aldrin</t>
  </si>
  <si>
    <t>Bungay, Dennis</t>
  </si>
  <si>
    <t>Padilla, Benigno</t>
  </si>
  <si>
    <t>Elevera, Dondon</t>
  </si>
  <si>
    <t>Andales, Joel</t>
  </si>
  <si>
    <t>Tesado, Christopher</t>
  </si>
  <si>
    <t>Diamad, Donald</t>
  </si>
  <si>
    <t xml:space="preserve">Isaak Jardin </t>
  </si>
  <si>
    <t xml:space="preserve">Total Payroll </t>
  </si>
  <si>
    <t xml:space="preserve">Prepared By: </t>
  </si>
  <si>
    <t xml:space="preserve">Checked By: </t>
  </si>
  <si>
    <t xml:space="preserve">Approved By: </t>
  </si>
  <si>
    <t xml:space="preserve">Noted by: </t>
  </si>
  <si>
    <t xml:space="preserve">DORABEL Y. GAID </t>
  </si>
  <si>
    <t xml:space="preserve">LYN M. BELTRAN </t>
  </si>
  <si>
    <t>KATHERINE J. BACOSA</t>
  </si>
  <si>
    <t xml:space="preserve">CESARIO A. BACOSA JR. </t>
  </si>
  <si>
    <t xml:space="preserve">Admn Manager </t>
  </si>
  <si>
    <t xml:space="preserve">CEO/President </t>
  </si>
  <si>
    <t>SSS</t>
  </si>
  <si>
    <t>TRAVEL</t>
  </si>
  <si>
    <t>LOAN</t>
  </si>
  <si>
    <t>CASH ADVANCE</t>
  </si>
  <si>
    <t xml:space="preserve">Grageda, Riza </t>
  </si>
  <si>
    <t xml:space="preserve">Psychometrician </t>
  </si>
  <si>
    <t xml:space="preserve">Nacpil, Marilyn </t>
  </si>
  <si>
    <t>Consultant, EHS</t>
  </si>
  <si>
    <t>Bacosa, Mary Jel</t>
  </si>
  <si>
    <t>Consultant, Legal</t>
  </si>
  <si>
    <t xml:space="preserve">Calinawagan, Daryl </t>
  </si>
  <si>
    <t xml:space="preserve">Consultant, Material </t>
  </si>
  <si>
    <t>11D</t>
  </si>
  <si>
    <t>JUNE 11-25, 2022</t>
  </si>
  <si>
    <t xml:space="preserve">Paredes, Matthew </t>
  </si>
  <si>
    <t xml:space="preserve">Consultant, EHS </t>
  </si>
  <si>
    <t>Grageda, Riza</t>
  </si>
  <si>
    <t xml:space="preserve">Bacosa, Mary Jel </t>
  </si>
  <si>
    <t xml:space="preserve">Consultant, Legal </t>
  </si>
  <si>
    <t xml:space="preserve">Caliwanagan, Daryl </t>
  </si>
  <si>
    <t xml:space="preserve">Material Engineer </t>
  </si>
  <si>
    <t>13 D</t>
  </si>
  <si>
    <t>10D</t>
  </si>
  <si>
    <t>Aug 11-25, 2022</t>
  </si>
  <si>
    <t>-</t>
  </si>
  <si>
    <t>14D</t>
  </si>
  <si>
    <t xml:space="preserve">Draftsman </t>
  </si>
  <si>
    <t>MATTHEW JOHN CLIFFORD PAREDES</t>
  </si>
  <si>
    <t>Period:</t>
  </si>
  <si>
    <t>Position:</t>
  </si>
  <si>
    <t>Payroll Date:</t>
  </si>
  <si>
    <t>September</t>
  </si>
  <si>
    <t>Sun Only</t>
  </si>
  <si>
    <t>Total # of Hours per Cut off</t>
  </si>
  <si>
    <t xml:space="preserve">Late </t>
  </si>
  <si>
    <t xml:space="preserve">Late Amount </t>
  </si>
  <si>
    <t>Total Hours</t>
  </si>
  <si>
    <t xml:space="preserve">Absences, Late &amp; Undertime </t>
  </si>
  <si>
    <t xml:space="preserve">Overtime Pay &amp; Premium </t>
  </si>
  <si>
    <t>Holiday Pay/Premium</t>
  </si>
  <si>
    <t xml:space="preserve">Gross Pay </t>
  </si>
  <si>
    <t>HOLIDAY PAY</t>
  </si>
  <si>
    <t xml:space="preserve">Regular Holiday </t>
  </si>
  <si>
    <t>August</t>
  </si>
  <si>
    <t>Special (Non-working) Day</t>
  </si>
  <si>
    <t xml:space="preserve">BAsic Hourly Rate </t>
  </si>
  <si>
    <t xml:space="preserve"> </t>
  </si>
  <si>
    <t>Sat</t>
  </si>
  <si>
    <t xml:space="preserve">RODERIC AURELIO </t>
  </si>
  <si>
    <t xml:space="preserve">Utility </t>
  </si>
  <si>
    <t xml:space="preserve">   </t>
  </si>
  <si>
    <t xml:space="preserve">SUCIA, VANLLOYD M. </t>
  </si>
  <si>
    <t xml:space="preserve">Project Technical Staff </t>
  </si>
  <si>
    <t>GSS</t>
  </si>
  <si>
    <t>MAYCA COMOSO</t>
  </si>
  <si>
    <t xml:space="preserve">Grace period </t>
  </si>
  <si>
    <t xml:space="preserve">Overtime Pay </t>
  </si>
  <si>
    <t xml:space="preserve">Holiday Pay </t>
  </si>
  <si>
    <t>June</t>
  </si>
  <si>
    <t>JOVELYN H. GUERZO</t>
  </si>
  <si>
    <t xml:space="preserve">EHS Head </t>
  </si>
  <si>
    <t xml:space="preserve">Basic Salary </t>
  </si>
  <si>
    <t>Admin Assistant</t>
  </si>
  <si>
    <t xml:space="preserve">Grace Period </t>
  </si>
  <si>
    <t>Mon</t>
  </si>
  <si>
    <t xml:space="preserve">REGINE CONSUELO </t>
  </si>
  <si>
    <t>NANCY ACOMPAÑADO</t>
  </si>
  <si>
    <t xml:space="preserve">AR Officer </t>
  </si>
  <si>
    <t>July</t>
  </si>
  <si>
    <t xml:space="preserve">SHAJANLI GRACE BATUL </t>
  </si>
  <si>
    <t>May</t>
  </si>
  <si>
    <t>GIE BOY DAGOT</t>
  </si>
  <si>
    <t xml:space="preserve">Sun </t>
  </si>
  <si>
    <t>HAROLD MANAEG</t>
  </si>
  <si>
    <t xml:space="preserve">REY MARK ALEJANDRINO </t>
  </si>
  <si>
    <t xml:space="preserve">MICHAEL MACATANGAY </t>
  </si>
  <si>
    <t xml:space="preserve">Company Driver </t>
  </si>
  <si>
    <t>NAME:</t>
  </si>
  <si>
    <t>Beltran, Lyn M.</t>
  </si>
  <si>
    <t>PERIOD:</t>
  </si>
  <si>
    <t xml:space="preserve">Gaid, Dorabel </t>
  </si>
  <si>
    <t>DESIGNATION:</t>
  </si>
  <si>
    <t xml:space="preserve">Admin </t>
  </si>
  <si>
    <t xml:space="preserve">Release Date: </t>
  </si>
  <si>
    <t>EARNINGS</t>
  </si>
  <si>
    <t>DEDUCTION</t>
  </si>
  <si>
    <t>AMOUNT</t>
  </si>
  <si>
    <t xml:space="preserve">Absences/Tardiness/ Undertime </t>
  </si>
  <si>
    <t xml:space="preserve">De Minimis </t>
  </si>
  <si>
    <t xml:space="preserve">Cash Advance / Loan </t>
  </si>
  <si>
    <t xml:space="preserve">Refund / Retro </t>
  </si>
  <si>
    <t xml:space="preserve">PhilHealth </t>
  </si>
  <si>
    <t xml:space="preserve">Pag-Ibig </t>
  </si>
  <si>
    <t xml:space="preserve">Premium Pay </t>
  </si>
  <si>
    <t xml:space="preserve">Income Tax </t>
  </si>
  <si>
    <t>Insurance/s</t>
  </si>
  <si>
    <t xml:space="preserve">Communication Allow. </t>
  </si>
  <si>
    <t>TOTAL EARNINGS:</t>
  </si>
  <si>
    <t>TOTAL DEDUCTION:</t>
  </si>
  <si>
    <t>NET PAY:</t>
  </si>
  <si>
    <t>Prepared By:</t>
  </si>
  <si>
    <t>Approved By:</t>
  </si>
  <si>
    <t>Received By</t>
  </si>
  <si>
    <t>DORABEL Y. GAID</t>
  </si>
  <si>
    <t xml:space="preserve">KATHERINE J. BACOSA </t>
  </si>
  <si>
    <t>_____________________________</t>
  </si>
  <si>
    <t xml:space="preserve">Employee's Signature w/ Printed Name </t>
  </si>
  <si>
    <t>APRIL 25- MAY 10, 2022</t>
  </si>
  <si>
    <t>Amansinaya</t>
  </si>
  <si>
    <t xml:space="preserve">Macatangay, Michael </t>
  </si>
  <si>
    <t xml:space="preserve">Aurelio, Roderic </t>
  </si>
  <si>
    <t xml:space="preserve">Galedo, Joshua Jover </t>
  </si>
  <si>
    <t>Years</t>
  </si>
  <si>
    <t>Months</t>
  </si>
  <si>
    <t>Days</t>
  </si>
  <si>
    <t>Check Box</t>
  </si>
  <si>
    <t>January</t>
  </si>
  <si>
    <t>No Weekend</t>
  </si>
  <si>
    <t>March</t>
  </si>
  <si>
    <t>Sun &amp; Mon</t>
  </si>
  <si>
    <t>Mon &amp; Tue</t>
  </si>
  <si>
    <t>Tue &amp; Wed</t>
  </si>
  <si>
    <t>Wed &amp; Thu</t>
  </si>
  <si>
    <t>Thu &amp; Fri</t>
  </si>
  <si>
    <t>Fri &amp; Sat</t>
  </si>
  <si>
    <t>Mon Only</t>
  </si>
  <si>
    <t>October</t>
  </si>
  <si>
    <t>Tue Only</t>
  </si>
  <si>
    <t>November</t>
  </si>
  <si>
    <t>Wed Only</t>
  </si>
  <si>
    <t>December</t>
  </si>
  <si>
    <t>Thu Only</t>
  </si>
  <si>
    <t>Fri Only</t>
  </si>
  <si>
    <t>Sat Only</t>
  </si>
  <si>
    <t>BASIC PAY/DAY</t>
  </si>
  <si>
    <t>MALAZARTE, JAN KAYLE MARI</t>
  </si>
  <si>
    <t xml:space="preserve">Project Technical &amp; Survey Staff </t>
  </si>
  <si>
    <t>PAYROLL DATE</t>
  </si>
  <si>
    <t>DATE COVERED</t>
  </si>
  <si>
    <t>DEPARTMENT</t>
  </si>
  <si>
    <t>POSITION</t>
  </si>
  <si>
    <t> COMPENSATION</t>
  </si>
  <si>
    <t> DEDUCTIONS</t>
  </si>
  <si>
    <t>BASIC</t>
  </si>
  <si>
    <t>TAX</t>
  </si>
  <si>
    <t>DE MINIMIS BENEFITS</t>
  </si>
  <si>
    <t>ALLOWANCE</t>
  </si>
  <si>
    <t>RCBC</t>
  </si>
  <si>
    <t>PHILHEALTH</t>
  </si>
  <si>
    <t>TOTAL COMPENSATION</t>
  </si>
  <si>
    <t>TOTAL DEDUCTIONS</t>
  </si>
  <si>
    <t>OVERTIME</t>
  </si>
  <si>
    <t>INCENTIVES/REFUND</t>
  </si>
  <si>
    <t>: LYN M. BELTRAN</t>
  </si>
  <si>
    <t>: EHS Head</t>
  </si>
  <si>
    <t>: </t>
  </si>
  <si>
    <t>: ENGR. CESARIO A. BACOSA JR.</t>
  </si>
  <si>
    <t>: REY MARK A. ALEJANDRINO</t>
  </si>
  <si>
    <t>: Admin</t>
  </si>
  <si>
    <t>: Company Driver</t>
  </si>
  <si>
    <t>Junior Office Engineer</t>
  </si>
  <si>
    <t>Sales Engineer</t>
  </si>
  <si>
    <t>JOHN JOEL ESTARES</t>
  </si>
  <si>
    <t>Jr. Office Engineer</t>
  </si>
  <si>
    <t>Project Technical Supervisor</t>
  </si>
  <si>
    <t>Laboratory Head</t>
  </si>
  <si>
    <t>Proj. Technical Supervisor</t>
  </si>
  <si>
    <t>RCBC Loan</t>
  </si>
  <si>
    <t>SSS LOAN</t>
  </si>
  <si>
    <t>PHONE LOAN</t>
  </si>
  <si>
    <t>OTHER DEDUCTION</t>
  </si>
  <si>
    <t>HDMF LOAN</t>
  </si>
  <si>
    <t>COMPANY LOAN</t>
  </si>
  <si>
    <t>LATE &amp; ABSENCES</t>
  </si>
  <si>
    <t>Pag-ibig Loan</t>
  </si>
  <si>
    <t>Laboratory Aide</t>
  </si>
  <si>
    <t>MARK EMMANUEL DIOLA</t>
  </si>
  <si>
    <t>Kian</t>
  </si>
  <si>
    <t>Wed</t>
  </si>
  <si>
    <t>MECHELLE PATRICIO</t>
  </si>
  <si>
    <t>KENNETH DELA CRUZ</t>
  </si>
  <si>
    <t>CRIS JANREY BASA</t>
  </si>
  <si>
    <t>BPI INSURANCE</t>
  </si>
  <si>
    <t>: JOSEPH BACOMO</t>
  </si>
  <si>
    <t>LISETTE APRIL TRIPOLI</t>
  </si>
  <si>
    <t>ACCOUNTING STAFF</t>
  </si>
  <si>
    <t>EMMANUEL LEAL</t>
  </si>
  <si>
    <t>LATE AND ABSENCES</t>
  </si>
  <si>
    <t>: Technical Staff</t>
  </si>
  <si>
    <t>RONALD BECARO</t>
  </si>
  <si>
    <t>JENALYN COROSO</t>
  </si>
  <si>
    <t>REALYN HERRERA</t>
  </si>
  <si>
    <t>Bookkeeper</t>
  </si>
  <si>
    <t>ALLAN JAMES ABREA</t>
  </si>
  <si>
    <t>Night Differential + 30% on regular hours</t>
  </si>
  <si>
    <t>10:00 PM-12:00 AM</t>
  </si>
  <si>
    <t>2 HRS</t>
  </si>
  <si>
    <t>: Bookkeeper</t>
  </si>
  <si>
    <t>MAHADIR MOHAMMAD</t>
  </si>
  <si>
    <t>BNM SAVINGS</t>
  </si>
  <si>
    <t>BNM LOAN</t>
  </si>
  <si>
    <t>BNM</t>
  </si>
  <si>
    <t>SALARY</t>
  </si>
  <si>
    <t>Field Staff</t>
  </si>
  <si>
    <t>: Field Staff</t>
  </si>
  <si>
    <t>: JAY AR RHYAN LORENZO</t>
  </si>
  <si>
    <t>Thu</t>
  </si>
  <si>
    <t>Fri</t>
  </si>
  <si>
    <t>10:00 PM-01:00 AM</t>
  </si>
  <si>
    <t>3 HRS</t>
  </si>
  <si>
    <t>ENGR. REYMOND CAYAPAS</t>
  </si>
  <si>
    <t>KYLLE ORBISO</t>
  </si>
  <si>
    <t>Teachnical Staff</t>
  </si>
  <si>
    <t>: REY JOHN G. MITCHELL</t>
  </si>
  <si>
    <t>LEAVE W/O PAY</t>
  </si>
  <si>
    <t>JENNYVELL BARORO</t>
  </si>
  <si>
    <t>Project Technical Staff</t>
  </si>
  <si>
    <t>Staff</t>
  </si>
  <si>
    <t>Medical Pooling</t>
  </si>
  <si>
    <t>MEDICAL POOLING</t>
  </si>
  <si>
    <t>JANELLE BUNGAY</t>
  </si>
  <si>
    <t>MARY HAZEL MAE GABO</t>
  </si>
  <si>
    <t>NOIBO LAGROSA</t>
  </si>
  <si>
    <t>VIDEO EDITOR</t>
  </si>
  <si>
    <t>: EDWARD CAYUPAN</t>
  </si>
  <si>
    <t>JAY MARC S. NICOLAS</t>
  </si>
  <si>
    <t>Jr. Sales</t>
  </si>
  <si>
    <t>Sales &amp; Marketing</t>
  </si>
  <si>
    <t>PIERCEVAL RUIZ</t>
  </si>
  <si>
    <t>Marketing Staff</t>
  </si>
  <si>
    <t>: Jr. Sales Engineer</t>
  </si>
  <si>
    <t>Sun</t>
  </si>
  <si>
    <t>WILLY JOSEPH ADRIANO</t>
  </si>
  <si>
    <t>Note Retro:</t>
  </si>
  <si>
    <t>Membership Fee</t>
  </si>
  <si>
    <t>: LYDIO PASCUAL JR.</t>
  </si>
  <si>
    <t>: JORGE A. ALDAMAR JR.</t>
  </si>
  <si>
    <t>: MOSES O. MORADOS</t>
  </si>
  <si>
    <t>: OSCAR D. ABIS</t>
  </si>
  <si>
    <t>: NOIBO A. LAGROSA</t>
  </si>
  <si>
    <t>: NORMAN G. MACATANGAY</t>
  </si>
  <si>
    <t>: RONALD BECARO</t>
  </si>
  <si>
    <t>: DONDON ELEVERA</t>
  </si>
  <si>
    <t>: MARK JOHN CABASAL</t>
  </si>
  <si>
    <t>: GERALD GALLARDO</t>
  </si>
  <si>
    <t>: Project Management &amp; Operation</t>
  </si>
  <si>
    <t>: Project Area Supervisor</t>
  </si>
  <si>
    <t>Finance Manager</t>
  </si>
  <si>
    <t>: Head</t>
  </si>
  <si>
    <t>: Marketing Staff</t>
  </si>
  <si>
    <t>: WILLY JOSEPH ADRIANO</t>
  </si>
  <si>
    <t>: CEO</t>
  </si>
  <si>
    <t>: ENGR. GERALD S. FERNANDEZ</t>
  </si>
  <si>
    <t>: Jr. Office Engineer</t>
  </si>
  <si>
    <t>: KENNETH DELA CRUZ</t>
  </si>
  <si>
    <t>: Repair &amp; Maintenance Staff</t>
  </si>
  <si>
    <t>: GSS/Field Staff</t>
  </si>
  <si>
    <t>: MICHAEL G. MACATANGAY</t>
  </si>
  <si>
    <t>: REDEN D. DOBLEROS</t>
  </si>
  <si>
    <t>: Finance</t>
  </si>
  <si>
    <t>: Accounting Staff</t>
  </si>
  <si>
    <t>: PIERCEVAL RUIZ</t>
  </si>
  <si>
    <t>: ALLAN JAMES ABREA</t>
  </si>
  <si>
    <t>: Admin Staff-Utility</t>
  </si>
  <si>
    <t>: GSS</t>
  </si>
  <si>
    <t>: ENGR. REYMOND CAYAPAS</t>
  </si>
  <si>
    <t>: Field Engineer</t>
  </si>
  <si>
    <t>: MATTHEW JOHN CLIFFORD D. PAREDES</t>
  </si>
  <si>
    <t>: Draftsman</t>
  </si>
  <si>
    <t>: BASA, CRIS JANREY</t>
  </si>
  <si>
    <t>: Laboratory Operator</t>
  </si>
  <si>
    <t>: MARK JAYSON H. GERMINA</t>
  </si>
  <si>
    <t>: Project Management &amp; Operation &amp; Operation</t>
  </si>
  <si>
    <t>: KATHERINE J. BACOSA</t>
  </si>
  <si>
    <t>: Finance Manager</t>
  </si>
  <si>
    <t>: JOVELYN H. GUERZO</t>
  </si>
  <si>
    <t>: REGINE C. CONSUELO</t>
  </si>
  <si>
    <t>: Finance Assistant</t>
  </si>
  <si>
    <t>: DORABEL GAID</t>
  </si>
  <si>
    <t>: ENGR. MECHELLE PATRICIO</t>
  </si>
  <si>
    <t>: NANCY A. ACOMPAÑADO</t>
  </si>
  <si>
    <t>: JAN KAYLE MARI MALAZARTE</t>
  </si>
  <si>
    <t>: JANELLE BUNGAY</t>
  </si>
  <si>
    <t>: ENGR. ROSELLE B. CALIWANAGAN</t>
  </si>
  <si>
    <t>: JENNYVELLE BARORO</t>
  </si>
  <si>
    <t>: REALYN HERRERA</t>
  </si>
  <si>
    <t>: Material Testing &amp; Laboratory Supervisor</t>
  </si>
  <si>
    <t>: Survey &amp; Technical Staff</t>
  </si>
  <si>
    <t>: Accounts Receivable Officer</t>
  </si>
  <si>
    <t>: Administrative Head</t>
  </si>
  <si>
    <t>: Geotechnical Supervisor</t>
  </si>
  <si>
    <t>Repair &amp; Maintenance</t>
  </si>
  <si>
    <t>: RICKY BALMONTE</t>
  </si>
  <si>
    <t>: MELQUI CAPIS</t>
  </si>
  <si>
    <t>Tues</t>
  </si>
  <si>
    <t>: CHARWYN PANES</t>
  </si>
  <si>
    <t>Field Engineer</t>
  </si>
  <si>
    <t>: JENALYN COROSO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</si>
  <si>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</si>
  <si>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Tue</t>
  </si>
  <si>
    <t>: 30 JUNE 2026</t>
  </si>
  <si>
    <t>: 06/11/2026 - 06/25/2026</t>
  </si>
  <si>
    <t>ENGELBERT PAALAN</t>
  </si>
  <si>
    <t>GERALD GALLARDO</t>
  </si>
  <si>
    <t>.</t>
  </si>
  <si>
    <t>Asst. Field Engineer</t>
  </si>
  <si>
    <t>CODY MAE H. EDON</t>
  </si>
  <si>
    <t xml:space="preserve">Repair and Maintenance </t>
  </si>
  <si>
    <t>Field Engineer/Supervisor</t>
  </si>
  <si>
    <t>SEPTEMBER 11-25, 2026</t>
  </si>
  <si>
    <t>September  11-25, 2026</t>
  </si>
  <si>
    <t>9/31/2026</t>
  </si>
  <si>
    <t>IT</t>
  </si>
  <si>
    <t>Admin Asst.</t>
  </si>
  <si>
    <t>GLENN AZMAN</t>
  </si>
  <si>
    <t>CHIARA NORFIE ELEAZAR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</si>
</sst>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_-* #,##0.00_-;\-* #,##0.00_-;_-* &quot;-&quot;??_-;_-@_-"/>
    <numFmt numFmtId="165" formatCode="0.0"/>
    <numFmt numFmtId="166" formatCode="ddd"/>
    <numFmt numFmtId="167" formatCode="dd"/>
    <numFmt numFmtId="168" formatCode="h:mm;@"/>
    <numFmt numFmtId="169" formatCode="0.00_);[Red]\(0.00\)"/>
    <numFmt numFmtId="170" formatCode="[$-409]h:mm:ss\ AM/PM;@"/>
    <numFmt numFmtId="171" formatCode="0.0_);[Red]\(0.0\)"/>
    <numFmt numFmtId="172" formatCode="_(* #,##0.0_);_(* \(#,##0.0\);_(* &quot;-&quot;?_);_(@_)"/>
    <numFmt numFmtId="173" formatCode="0.0_ "/>
    <numFmt numFmtId="174" formatCode="0.000"/>
    <numFmt numFmtId="175" formatCode="[$-409]d\-mmm\-yy;@"/>
  </numFmts>
  <fonts count="57">
    <font>
      <sz val="10"/>
      <color theme="1"/>
      <name val="Verdana"/>
      <charset val="13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color theme="1"/>
      <name val="Verdana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i/>
      <sz val="9"/>
      <color theme="1"/>
      <name val="Verdana"/>
      <family val="2"/>
    </font>
    <font>
      <sz val="9"/>
      <color theme="1"/>
      <name val="Verdana"/>
      <family val="2"/>
    </font>
    <font>
      <u/>
      <sz val="16"/>
      <color theme="8" tint="-0.249977111117893"/>
      <name val="Verdana"/>
      <family val="2"/>
    </font>
    <font>
      <b/>
      <sz val="20"/>
      <color theme="9" tint="-0.499984740745262"/>
      <name val="Calibri Light"/>
      <family val="2"/>
      <scheme val="major"/>
    </font>
    <font>
      <b/>
      <sz val="10"/>
      <color theme="1"/>
      <name val="Verdana"/>
      <family val="2"/>
    </font>
    <font>
      <i/>
      <sz val="9"/>
      <color theme="4" tint="-0.499984740745262"/>
      <name val="Verdana"/>
      <family val="2"/>
    </font>
    <font>
      <sz val="6.5"/>
      <color theme="1"/>
      <name val="Verdana"/>
      <family val="2"/>
    </font>
    <font>
      <b/>
      <sz val="9"/>
      <color theme="8" tint="-0.249977111117893"/>
      <name val="Verdana"/>
      <family val="2"/>
    </font>
    <font>
      <sz val="8"/>
      <color theme="1"/>
      <name val="Verdana"/>
      <family val="2"/>
    </font>
    <font>
      <sz val="8"/>
      <color theme="8" tint="-0.249977111117893"/>
      <name val="Verdana"/>
      <family val="2"/>
    </font>
    <font>
      <sz val="10"/>
      <color rgb="FFFF0000"/>
      <name val="Verdana"/>
      <family val="2"/>
    </font>
    <font>
      <b/>
      <sz val="9"/>
      <color rgb="FFFF0000"/>
      <name val="Verdana"/>
      <family val="2"/>
    </font>
    <font>
      <b/>
      <sz val="8"/>
      <color theme="8" tint="-0.249977111117893"/>
      <name val="Verdana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8" tint="-0.249977111117893"/>
      <name val="Verdana"/>
      <family val="2"/>
    </font>
    <font>
      <sz val="8"/>
      <color rgb="FFFF0000"/>
      <name val="Verdana"/>
      <family val="2"/>
    </font>
    <font>
      <b/>
      <sz val="10"/>
      <color rgb="FFFF0000"/>
      <name val="Verdana"/>
      <family val="2"/>
    </font>
    <font>
      <b/>
      <sz val="9"/>
      <color theme="1"/>
      <name val="Verdana"/>
      <family val="2"/>
    </font>
    <font>
      <b/>
      <i/>
      <sz val="9"/>
      <color theme="1"/>
      <name val="Verdana"/>
      <family val="2"/>
    </font>
    <font>
      <b/>
      <sz val="8"/>
      <color theme="1"/>
      <name val="Verdana"/>
      <family val="2"/>
    </font>
    <font>
      <b/>
      <sz val="10"/>
      <color theme="8" tint="-0.249977111117893"/>
      <name val="Verdana"/>
      <family val="2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sz val="9"/>
      <color rgb="FFFF0000"/>
      <name val="Calibri"/>
      <family val="2"/>
      <scheme val="minor"/>
    </font>
    <font>
      <u val="double"/>
      <sz val="16"/>
      <color theme="8" tint="-0.249977111117893"/>
      <name val="Verdana"/>
      <family val="2"/>
    </font>
    <font>
      <sz val="12"/>
      <color theme="3" tint="-0.249977111117893"/>
      <name val="Verdana"/>
      <family val="2"/>
    </font>
    <font>
      <sz val="10"/>
      <color theme="10"/>
      <name val="Verdana"/>
      <family val="2"/>
    </font>
    <font>
      <u/>
      <sz val="10"/>
      <color theme="10"/>
      <name val="Verdana"/>
      <family val="2"/>
    </font>
    <font>
      <sz val="10"/>
      <color theme="1"/>
      <name val="Verdana"/>
      <family val="2"/>
    </font>
    <font>
      <b/>
      <sz val="9"/>
      <color rgb="FF000000"/>
      <name val="Garet Book"/>
    </font>
    <font>
      <sz val="9"/>
      <color rgb="FF000000"/>
      <name val="Garet Book"/>
    </font>
    <font>
      <sz val="9"/>
      <color theme="1"/>
      <name val="Garet Book"/>
    </font>
    <font>
      <b/>
      <sz val="9"/>
      <color theme="1"/>
      <name val="Garet Book"/>
    </font>
    <font>
      <sz val="9"/>
      <name val="Garet Book"/>
    </font>
    <font>
      <b/>
      <u val="doubleAccounting"/>
      <sz val="9"/>
      <name val="Calibri"/>
      <family val="2"/>
      <scheme val="minor"/>
    </font>
    <font>
      <sz val="9"/>
      <color theme="1"/>
      <name val="Calibri"/>
      <family val="2"/>
    </font>
    <font>
      <b/>
      <u val="singleAccounting"/>
      <sz val="9"/>
      <name val="Calibri"/>
      <family val="2"/>
      <scheme val="minor"/>
    </font>
    <font>
      <u val="singleAccounting"/>
      <sz val="9"/>
      <name val="Calibri"/>
      <family val="2"/>
      <scheme val="minor"/>
    </font>
    <font>
      <i/>
      <sz val="9"/>
      <name val="Calibri"/>
      <family val="2"/>
      <scheme val="minor"/>
    </font>
    <font>
      <b/>
      <i/>
      <sz val="9"/>
      <name val="Calibri"/>
      <family val="2"/>
      <scheme val="minor"/>
    </font>
    <font>
      <sz val="10"/>
      <name val="Verdana"/>
      <family val="2"/>
    </font>
    <font>
      <sz val="9"/>
      <name val="Verdana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rgb="FF000000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C1C9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rgb="FFFFC5C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6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/>
      <right/>
      <top style="double">
        <color auto="1"/>
      </top>
      <bottom/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double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theme="4" tint="-0.24994659260841701"/>
      </left>
      <right style="thin">
        <color theme="4" tint="-0.24994659260841701"/>
      </right>
      <top/>
      <bottom style="double">
        <color theme="4" tint="-0.24994659260841701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1">
    <xf numFmtId="0" fontId="0" fillId="0" borderId="0"/>
    <xf numFmtId="43" fontId="40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40" fillId="0" borderId="0"/>
    <xf numFmtId="43" fontId="1" fillId="0" borderId="0" applyFont="0" applyFill="0" applyBorder="0" applyAlignment="0" applyProtection="0"/>
  </cellStyleXfs>
  <cellXfs count="611">
    <xf numFmtId="0" fontId="0" fillId="0" borderId="0" xfId="0"/>
    <xf numFmtId="0" fontId="0" fillId="0" borderId="1" xfId="0" applyBorder="1"/>
    <xf numFmtId="0" fontId="4" fillId="2" borderId="1" xfId="0" applyFont="1" applyFill="1" applyBorder="1"/>
    <xf numFmtId="14" fontId="0" fillId="0" borderId="1" xfId="0" applyNumberFormat="1" applyBorder="1"/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  <xf numFmtId="0" fontId="7" fillId="0" borderId="0" xfId="0" applyFont="1"/>
    <xf numFmtId="0" fontId="7" fillId="0" borderId="2" xfId="0" applyFont="1" applyBorder="1"/>
    <xf numFmtId="0" fontId="6" fillId="0" borderId="0" xfId="0" applyFont="1" applyAlignment="1">
      <alignment horizontal="center"/>
    </xf>
    <xf numFmtId="0" fontId="7" fillId="0" borderId="3" xfId="0" applyFont="1" applyBorder="1"/>
    <xf numFmtId="14" fontId="7" fillId="0" borderId="2" xfId="0" applyNumberFormat="1" applyFont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5" fillId="0" borderId="6" xfId="0" applyFont="1" applyBorder="1" applyAlignment="1">
      <alignment vertical="center"/>
    </xf>
    <xf numFmtId="43" fontId="5" fillId="0" borderId="6" xfId="1" applyFont="1" applyFill="1" applyBorder="1" applyAlignment="1">
      <alignment vertical="center"/>
    </xf>
    <xf numFmtId="0" fontId="6" fillId="0" borderId="6" xfId="0" applyFont="1" applyBorder="1" applyAlignment="1">
      <alignment vertical="center" wrapText="1"/>
    </xf>
    <xf numFmtId="43" fontId="5" fillId="0" borderId="6" xfId="1" applyFont="1" applyFill="1" applyBorder="1"/>
    <xf numFmtId="0" fontId="5" fillId="0" borderId="6" xfId="0" applyFont="1" applyBorder="1"/>
    <xf numFmtId="0" fontId="6" fillId="0" borderId="6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8" fillId="0" borderId="6" xfId="0" applyFont="1" applyBorder="1"/>
    <xf numFmtId="43" fontId="8" fillId="0" borderId="6" xfId="1" applyFont="1" applyFill="1" applyBorder="1"/>
    <xf numFmtId="0" fontId="8" fillId="0" borderId="0" xfId="0" applyFont="1"/>
    <xf numFmtId="0" fontId="8" fillId="4" borderId="4" xfId="0" applyFont="1" applyFill="1" applyBorder="1"/>
    <xf numFmtId="0" fontId="8" fillId="4" borderId="3" xfId="0" applyFont="1" applyFill="1" applyBorder="1"/>
    <xf numFmtId="43" fontId="8" fillId="4" borderId="5" xfId="1" applyFont="1" applyFill="1" applyBorder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15" fontId="7" fillId="0" borderId="0" xfId="0" applyNumberFormat="1" applyFont="1" applyAlignment="1">
      <alignment horizontal="center"/>
    </xf>
    <xf numFmtId="43" fontId="8" fillId="0" borderId="0" xfId="1" applyFont="1" applyFill="1" applyBorder="1"/>
    <xf numFmtId="43" fontId="7" fillId="0" borderId="0" xfId="1" applyFont="1" applyFill="1" applyBorder="1"/>
    <xf numFmtId="0" fontId="8" fillId="3" borderId="0" xfId="0" applyFont="1" applyFill="1" applyAlignment="1">
      <alignment horizontal="center"/>
    </xf>
    <xf numFmtId="0" fontId="5" fillId="0" borderId="0" xfId="0" applyFont="1" applyAlignment="1">
      <alignment vertical="center"/>
    </xf>
    <xf numFmtId="43" fontId="5" fillId="0" borderId="0" xfId="1" applyFont="1" applyFill="1" applyBorder="1" applyAlignment="1">
      <alignment vertical="center"/>
    </xf>
    <xf numFmtId="43" fontId="5" fillId="0" borderId="0" xfId="1" applyFont="1" applyFill="1" applyBorder="1"/>
    <xf numFmtId="0" fontId="7" fillId="0" borderId="0" xfId="0" applyFont="1" applyAlignment="1">
      <alignment vertical="center"/>
    </xf>
    <xf numFmtId="0" fontId="8" fillId="4" borderId="0" xfId="0" applyFont="1" applyFill="1"/>
    <xf numFmtId="0" fontId="10" fillId="2" borderId="0" xfId="0" applyFont="1" applyFill="1" applyAlignment="1">
      <alignment horizontal="center" vertical="center"/>
    </xf>
    <xf numFmtId="0" fontId="11" fillId="0" borderId="0" xfId="0" applyFont="1" applyAlignment="1" applyProtection="1">
      <alignment horizontal="center"/>
      <protection locked="0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14" fontId="7" fillId="0" borderId="0" xfId="0" applyNumberFormat="1" applyFont="1" applyAlignment="1">
      <alignment horizontal="center"/>
    </xf>
    <xf numFmtId="0" fontId="6" fillId="0" borderId="0" xfId="0" applyFont="1" applyAlignment="1">
      <alignment vertical="center" wrapText="1"/>
    </xf>
    <xf numFmtId="43" fontId="8" fillId="4" borderId="0" xfId="1" applyFont="1" applyFill="1" applyBorder="1"/>
    <xf numFmtId="0" fontId="9" fillId="0" borderId="0" xfId="0" applyFont="1"/>
    <xf numFmtId="0" fontId="0" fillId="0" borderId="0" xfId="0" applyAlignment="1">
      <alignment vertical="center"/>
    </xf>
    <xf numFmtId="0" fontId="12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14" fillId="0" borderId="7" xfId="0" applyFont="1" applyBorder="1"/>
    <xf numFmtId="0" fontId="0" fillId="0" borderId="7" xfId="0" applyBorder="1"/>
    <xf numFmtId="0" fontId="15" fillId="0" borderId="0" xfId="0" applyFont="1" applyAlignment="1">
      <alignment horizontal="left"/>
    </xf>
    <xf numFmtId="0" fontId="0" fillId="0" borderId="0" xfId="0" applyAlignment="1">
      <alignment horizontal="centerContinuous"/>
    </xf>
    <xf numFmtId="0" fontId="10" fillId="2" borderId="8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0" xfId="0" applyFont="1"/>
    <xf numFmtId="0" fontId="11" fillId="6" borderId="9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vertical="center" wrapText="1"/>
    </xf>
    <xf numFmtId="20" fontId="11" fillId="0" borderId="9" xfId="0" applyNumberFormat="1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43" fontId="11" fillId="0" borderId="9" xfId="1" applyFont="1" applyBorder="1" applyAlignment="1">
      <alignment horizontal="center"/>
    </xf>
    <xf numFmtId="43" fontId="11" fillId="0" borderId="10" xfId="0" applyNumberFormat="1" applyFont="1" applyBorder="1" applyAlignment="1">
      <alignment horizontal="center"/>
    </xf>
    <xf numFmtId="0" fontId="11" fillId="0" borderId="6" xfId="0" applyFont="1" applyBorder="1"/>
    <xf numFmtId="0" fontId="0" fillId="0" borderId="6" xfId="0" applyBorder="1"/>
    <xf numFmtId="0" fontId="17" fillId="0" borderId="6" xfId="0" applyFont="1" applyBorder="1" applyAlignment="1">
      <alignment horizontal="center"/>
    </xf>
    <xf numFmtId="0" fontId="17" fillId="0" borderId="6" xfId="0" applyFont="1" applyBorder="1" applyAlignment="1">
      <alignment horizontal="center" wrapText="1"/>
    </xf>
    <xf numFmtId="0" fontId="11" fillId="0" borderId="6" xfId="0" applyFont="1" applyBorder="1" applyAlignment="1">
      <alignment horizontal="center"/>
    </xf>
    <xf numFmtId="166" fontId="11" fillId="0" borderId="6" xfId="0" applyNumberFormat="1" applyFont="1" applyBorder="1" applyAlignment="1">
      <alignment horizontal="center"/>
    </xf>
    <xf numFmtId="167" fontId="11" fillId="0" borderId="6" xfId="0" applyNumberFormat="1" applyFont="1" applyBorder="1" applyAlignment="1">
      <alignment horizontal="center"/>
    </xf>
    <xf numFmtId="20" fontId="11" fillId="0" borderId="6" xfId="0" applyNumberFormat="1" applyFont="1" applyBorder="1" applyAlignment="1">
      <alignment horizontal="center"/>
    </xf>
    <xf numFmtId="165" fontId="11" fillId="0" borderId="6" xfId="0" applyNumberFormat="1" applyFont="1" applyBorder="1" applyAlignment="1">
      <alignment horizontal="center"/>
    </xf>
    <xf numFmtId="20" fontId="11" fillId="0" borderId="4" xfId="0" applyNumberFormat="1" applyFont="1" applyBorder="1" applyAlignment="1">
      <alignment horizontal="center"/>
    </xf>
    <xf numFmtId="20" fontId="11" fillId="0" borderId="5" xfId="0" applyNumberFormat="1" applyFont="1" applyBorder="1" applyAlignment="1">
      <alignment horizontal="center"/>
    </xf>
    <xf numFmtId="0" fontId="18" fillId="0" borderId="6" xfId="0" applyFont="1" applyBorder="1"/>
    <xf numFmtId="0" fontId="18" fillId="0" borderId="6" xfId="0" applyFont="1" applyBorder="1" applyAlignment="1">
      <alignment horizontal="center"/>
    </xf>
    <xf numFmtId="0" fontId="17" fillId="0" borderId="4" xfId="0" applyFont="1" applyBorder="1" applyAlignment="1">
      <alignment horizontal="left"/>
    </xf>
    <xf numFmtId="0" fontId="17" fillId="0" borderId="5" xfId="0" applyFont="1" applyBorder="1" applyAlignment="1">
      <alignment horizontal="left"/>
    </xf>
    <xf numFmtId="165" fontId="17" fillId="0" borderId="6" xfId="0" applyNumberFormat="1" applyFont="1" applyBorder="1" applyAlignment="1">
      <alignment horizontal="center"/>
    </xf>
    <xf numFmtId="0" fontId="17" fillId="0" borderId="4" xfId="0" applyFont="1" applyBorder="1"/>
    <xf numFmtId="0" fontId="19" fillId="0" borderId="5" xfId="0" applyFont="1" applyBorder="1"/>
    <xf numFmtId="0" fontId="20" fillId="0" borderId="6" xfId="0" applyFont="1" applyBorder="1"/>
    <xf numFmtId="0" fontId="21" fillId="0" borderId="6" xfId="0" applyFont="1" applyBorder="1" applyAlignment="1">
      <alignment horizontal="center"/>
    </xf>
    <xf numFmtId="0" fontId="11" fillId="0" borderId="6" xfId="0" applyFont="1" applyBorder="1" applyAlignment="1">
      <alignment horizontal="right"/>
    </xf>
    <xf numFmtId="0" fontId="17" fillId="0" borderId="11" xfId="0" applyFont="1" applyBorder="1" applyAlignment="1">
      <alignment horizontal="left"/>
    </xf>
    <xf numFmtId="0" fontId="17" fillId="0" borderId="12" xfId="0" applyFont="1" applyBorder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5" fontId="17" fillId="0" borderId="0" xfId="0" applyNumberFormat="1" applyFont="1" applyAlignment="1">
      <alignment horizontal="center"/>
    </xf>
    <xf numFmtId="0" fontId="14" fillId="0" borderId="0" xfId="0" applyFont="1"/>
    <xf numFmtId="15" fontId="14" fillId="0" borderId="0" xfId="0" applyNumberFormat="1" applyFont="1"/>
    <xf numFmtId="0" fontId="16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43" fontId="0" fillId="0" borderId="0" xfId="0" applyNumberFormat="1"/>
    <xf numFmtId="20" fontId="0" fillId="0" borderId="0" xfId="0" applyNumberFormat="1"/>
    <xf numFmtId="168" fontId="0" fillId="7" borderId="6" xfId="0" applyNumberFormat="1" applyFill="1" applyBorder="1" applyAlignment="1">
      <alignment horizontal="center"/>
    </xf>
    <xf numFmtId="169" fontId="0" fillId="7" borderId="6" xfId="1" applyNumberFormat="1" applyFont="1" applyFill="1" applyBorder="1" applyAlignment="1">
      <alignment horizontal="center"/>
    </xf>
    <xf numFmtId="43" fontId="11" fillId="0" borderId="6" xfId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168" fontId="0" fillId="0" borderId="6" xfId="0" applyNumberFormat="1" applyBorder="1" applyAlignment="1">
      <alignment horizontal="center"/>
    </xf>
    <xf numFmtId="169" fontId="0" fillId="0" borderId="6" xfId="1" applyNumberFormat="1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43" fontId="23" fillId="0" borderId="0" xfId="0" applyNumberFormat="1" applyFont="1" applyAlignment="1">
      <alignment horizontal="center"/>
    </xf>
    <xf numFmtId="165" fontId="24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20" fontId="23" fillId="0" borderId="0" xfId="0" applyNumberFormat="1" applyFont="1"/>
    <xf numFmtId="168" fontId="11" fillId="0" borderId="6" xfId="0" applyNumberFormat="1" applyFont="1" applyBorder="1" applyAlignment="1">
      <alignment horizontal="center"/>
    </xf>
    <xf numFmtId="43" fontId="11" fillId="0" borderId="6" xfId="1" applyFont="1" applyFill="1" applyBorder="1" applyAlignment="1">
      <alignment horizontal="center"/>
    </xf>
    <xf numFmtId="169" fontId="0" fillId="0" borderId="6" xfId="1" applyNumberFormat="1" applyFont="1" applyBorder="1" applyAlignment="1">
      <alignment horizontal="center"/>
    </xf>
    <xf numFmtId="168" fontId="17" fillId="0" borderId="6" xfId="0" applyNumberFormat="1" applyFont="1" applyBorder="1" applyAlignment="1">
      <alignment horizontal="center" vertical="center"/>
    </xf>
    <xf numFmtId="43" fontId="17" fillId="0" borderId="6" xfId="1" applyFont="1" applyBorder="1" applyAlignment="1">
      <alignment horizontal="center" vertical="center"/>
    </xf>
    <xf numFmtId="43" fontId="25" fillId="0" borderId="6" xfId="1" applyFont="1" applyBorder="1"/>
    <xf numFmtId="0" fontId="26" fillId="0" borderId="6" xfId="0" applyFont="1" applyBorder="1"/>
    <xf numFmtId="43" fontId="25" fillId="0" borderId="6" xfId="1" applyFont="1" applyBorder="1" applyAlignment="1">
      <alignment horizontal="center"/>
    </xf>
    <xf numFmtId="169" fontId="25" fillId="0" borderId="6" xfId="1" applyNumberFormat="1" applyFont="1" applyBorder="1" applyAlignment="1">
      <alignment horizontal="center"/>
    </xf>
    <xf numFmtId="43" fontId="17" fillId="0" borderId="6" xfId="0" applyNumberFormat="1" applyFont="1" applyBorder="1"/>
    <xf numFmtId="0" fontId="11" fillId="0" borderId="3" xfId="0" applyFont="1" applyBorder="1"/>
    <xf numFmtId="43" fontId="17" fillId="0" borderId="6" xfId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43" fontId="25" fillId="0" borderId="14" xfId="1" applyFont="1" applyBorder="1"/>
    <xf numFmtId="43" fontId="27" fillId="0" borderId="6" xfId="1" applyFont="1" applyBorder="1"/>
    <xf numFmtId="165" fontId="25" fillId="0" borderId="0" xfId="0" applyNumberFormat="1" applyFont="1" applyAlignment="1">
      <alignment horizontal="center"/>
    </xf>
    <xf numFmtId="43" fontId="25" fillId="0" borderId="0" xfId="1" applyFont="1" applyBorder="1" applyAlignment="1">
      <alignment horizontal="center"/>
    </xf>
    <xf numFmtId="169" fontId="0" fillId="0" borderId="0" xfId="0" applyNumberFormat="1"/>
    <xf numFmtId="0" fontId="23" fillId="0" borderId="0" xfId="0" applyFont="1" applyAlignment="1">
      <alignment vertical="center"/>
    </xf>
    <xf numFmtId="170" fontId="0" fillId="0" borderId="0" xfId="0" applyNumberFormat="1"/>
    <xf numFmtId="43" fontId="11" fillId="0" borderId="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0" fontId="2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wrapText="1"/>
    </xf>
    <xf numFmtId="0" fontId="24" fillId="0" borderId="0" xfId="0" applyFont="1"/>
    <xf numFmtId="165" fontId="0" fillId="0" borderId="0" xfId="0" applyNumberFormat="1"/>
    <xf numFmtId="43" fontId="0" fillId="0" borderId="6" xfId="1" applyFont="1" applyBorder="1" applyAlignment="1">
      <alignment horizontal="center"/>
    </xf>
    <xf numFmtId="43" fontId="0" fillId="0" borderId="0" xfId="1" applyFont="1" applyBorder="1" applyAlignment="1">
      <alignment horizontal="center"/>
    </xf>
    <xf numFmtId="0" fontId="17" fillId="0" borderId="6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43" fontId="0" fillId="0" borderId="0" xfId="1" applyFont="1" applyAlignment="1">
      <alignment horizontal="center"/>
    </xf>
    <xf numFmtId="43" fontId="11" fillId="0" borderId="10" xfId="1" applyFont="1" applyBorder="1" applyAlignment="1">
      <alignment horizontal="center"/>
    </xf>
    <xf numFmtId="167" fontId="11" fillId="0" borderId="4" xfId="0" applyNumberFormat="1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1" fillId="0" borderId="4" xfId="0" applyFont="1" applyBorder="1" applyAlignment="1">
      <alignment horizontal="right"/>
    </xf>
    <xf numFmtId="0" fontId="11" fillId="0" borderId="11" xfId="0" applyFont="1" applyBorder="1" applyAlignment="1">
      <alignment horizontal="right"/>
    </xf>
    <xf numFmtId="0" fontId="17" fillId="0" borderId="6" xfId="0" applyFont="1" applyBorder="1" applyAlignment="1">
      <alignment horizontal="left"/>
    </xf>
    <xf numFmtId="0" fontId="14" fillId="0" borderId="0" xfId="0" applyFont="1" applyAlignment="1">
      <alignment horizontal="left"/>
    </xf>
    <xf numFmtId="43" fontId="25" fillId="0" borderId="6" xfId="1" applyFont="1" applyFill="1" applyBorder="1" applyAlignment="1">
      <alignment horizontal="center"/>
    </xf>
    <xf numFmtId="43" fontId="0" fillId="0" borderId="0" xfId="0" applyNumberFormat="1" applyAlignment="1">
      <alignment horizontal="center"/>
    </xf>
    <xf numFmtId="171" fontId="0" fillId="0" borderId="0" xfId="0" applyNumberFormat="1"/>
    <xf numFmtId="0" fontId="0" fillId="0" borderId="6" xfId="0" applyBorder="1" applyAlignment="1">
      <alignment vertical="center"/>
    </xf>
    <xf numFmtId="43" fontId="23" fillId="0" borderId="0" xfId="0" applyNumberFormat="1" applyFont="1"/>
    <xf numFmtId="43" fontId="17" fillId="0" borderId="6" xfId="1" applyFont="1" applyBorder="1"/>
    <xf numFmtId="169" fontId="0" fillId="0" borderId="0" xfId="0" applyNumberFormat="1" applyAlignment="1">
      <alignment horizontal="center"/>
    </xf>
    <xf numFmtId="43" fontId="24" fillId="0" borderId="0" xfId="0" applyNumberFormat="1" applyFont="1"/>
    <xf numFmtId="43" fontId="0" fillId="0" borderId="0" xfId="1" applyFont="1"/>
    <xf numFmtId="0" fontId="30" fillId="0" borderId="7" xfId="0" applyFont="1" applyBorder="1"/>
    <xf numFmtId="0" fontId="11" fillId="8" borderId="9" xfId="0" applyFont="1" applyFill="1" applyBorder="1" applyAlignment="1">
      <alignment horizontal="center" vertical="center" wrapText="1"/>
    </xf>
    <xf numFmtId="0" fontId="11" fillId="8" borderId="10" xfId="0" applyFont="1" applyFill="1" applyBorder="1" applyAlignment="1">
      <alignment horizontal="center" vertical="center" wrapText="1"/>
    </xf>
    <xf numFmtId="0" fontId="16" fillId="8" borderId="6" xfId="0" applyFont="1" applyFill="1" applyBorder="1" applyAlignment="1">
      <alignment vertical="center" wrapText="1"/>
    </xf>
    <xf numFmtId="43" fontId="24" fillId="0" borderId="0" xfId="1" applyFont="1" applyBorder="1" applyAlignment="1">
      <alignment horizontal="center"/>
    </xf>
    <xf numFmtId="169" fontId="24" fillId="0" borderId="0" xfId="0" applyNumberFormat="1" applyFont="1"/>
    <xf numFmtId="169" fontId="0" fillId="0" borderId="0" xfId="0" applyNumberFormat="1" applyAlignment="1">
      <alignment horizontal="right"/>
    </xf>
    <xf numFmtId="43" fontId="18" fillId="0" borderId="5" xfId="0" applyNumberFormat="1" applyFont="1" applyBorder="1"/>
    <xf numFmtId="43" fontId="31" fillId="0" borderId="6" xfId="1" applyFont="1" applyBorder="1"/>
    <xf numFmtId="0" fontId="18" fillId="8" borderId="9" xfId="0" applyFont="1" applyFill="1" applyBorder="1" applyAlignment="1">
      <alignment horizontal="center" vertical="center" wrapText="1"/>
    </xf>
    <xf numFmtId="0" fontId="32" fillId="0" borderId="0" xfId="0" applyFont="1"/>
    <xf numFmtId="0" fontId="32" fillId="0" borderId="0" xfId="0" applyFont="1" applyAlignment="1">
      <alignment horizontal="center"/>
    </xf>
    <xf numFmtId="43" fontId="32" fillId="0" borderId="0" xfId="1" applyFont="1" applyFill="1"/>
    <xf numFmtId="0" fontId="8" fillId="0" borderId="0" xfId="0" applyFont="1" applyAlignment="1">
      <alignment horizontal="right"/>
    </xf>
    <xf numFmtId="0" fontId="33" fillId="0" borderId="15" xfId="0" applyFont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 wrapText="1"/>
    </xf>
    <xf numFmtId="0" fontId="32" fillId="0" borderId="26" xfId="0" applyFont="1" applyBorder="1"/>
    <xf numFmtId="0" fontId="32" fillId="0" borderId="26" xfId="0" applyFont="1" applyBorder="1" applyAlignment="1">
      <alignment vertical="center"/>
    </xf>
    <xf numFmtId="0" fontId="32" fillId="0" borderId="26" xfId="0" applyFont="1" applyBorder="1" applyAlignment="1">
      <alignment horizontal="center" vertical="center"/>
    </xf>
    <xf numFmtId="43" fontId="32" fillId="0" borderId="26" xfId="1" applyFont="1" applyFill="1" applyBorder="1"/>
    <xf numFmtId="0" fontId="32" fillId="0" borderId="6" xfId="0" applyFont="1" applyBorder="1"/>
    <xf numFmtId="0" fontId="32" fillId="0" borderId="6" xfId="0" applyFont="1" applyBorder="1" applyAlignment="1">
      <alignment horizontal="center"/>
    </xf>
    <xf numFmtId="43" fontId="32" fillId="0" borderId="6" xfId="1" applyFont="1" applyFill="1" applyBorder="1"/>
    <xf numFmtId="164" fontId="32" fillId="0" borderId="6" xfId="0" applyNumberFormat="1" applyFont="1" applyBorder="1"/>
    <xf numFmtId="0" fontId="33" fillId="4" borderId="6" xfId="0" applyFont="1" applyFill="1" applyBorder="1"/>
    <xf numFmtId="43" fontId="32" fillId="0" borderId="6" xfId="0" applyNumberFormat="1" applyFont="1" applyBorder="1"/>
    <xf numFmtId="165" fontId="32" fillId="0" borderId="6" xfId="0" applyNumberFormat="1" applyFont="1" applyBorder="1" applyAlignment="1">
      <alignment horizontal="center"/>
    </xf>
    <xf numFmtId="171" fontId="32" fillId="0" borderId="6" xfId="0" applyNumberFormat="1" applyFont="1" applyBorder="1" applyAlignment="1">
      <alignment horizontal="center"/>
    </xf>
    <xf numFmtId="40" fontId="32" fillId="0" borderId="6" xfId="1" applyNumberFormat="1" applyFont="1" applyFill="1" applyBorder="1"/>
    <xf numFmtId="172" fontId="32" fillId="0" borderId="6" xfId="1" applyNumberFormat="1" applyFont="1" applyFill="1" applyBorder="1" applyAlignment="1">
      <alignment horizontal="center"/>
    </xf>
    <xf numFmtId="0" fontId="33" fillId="0" borderId="6" xfId="0" applyFont="1" applyBorder="1"/>
    <xf numFmtId="43" fontId="32" fillId="0" borderId="6" xfId="1" applyFont="1" applyFill="1" applyBorder="1" applyAlignment="1">
      <alignment horizontal="center"/>
    </xf>
    <xf numFmtId="173" fontId="32" fillId="0" borderId="6" xfId="0" applyNumberFormat="1" applyFont="1" applyBorder="1" applyAlignment="1">
      <alignment horizontal="center"/>
    </xf>
    <xf numFmtId="165" fontId="32" fillId="0" borderId="0" xfId="0" applyNumberFormat="1" applyFont="1" applyAlignment="1">
      <alignment horizontal="center"/>
    </xf>
    <xf numFmtId="0" fontId="33" fillId="0" borderId="6" xfId="0" applyFont="1" applyBorder="1" applyAlignment="1">
      <alignment horizontal="center"/>
    </xf>
    <xf numFmtId="43" fontId="33" fillId="0" borderId="6" xfId="0" applyNumberFormat="1" applyFont="1" applyBorder="1"/>
    <xf numFmtId="0" fontId="33" fillId="0" borderId="0" xfId="0" applyFont="1"/>
    <xf numFmtId="0" fontId="33" fillId="0" borderId="0" xfId="0" applyFont="1" applyAlignment="1">
      <alignment horizontal="center"/>
    </xf>
    <xf numFmtId="43" fontId="33" fillId="0" borderId="0" xfId="1" applyFont="1" applyFill="1"/>
    <xf numFmtId="0" fontId="33" fillId="0" borderId="27" xfId="0" applyFont="1" applyBorder="1" applyAlignment="1">
      <alignment horizontal="center" vertical="center" wrapText="1"/>
    </xf>
    <xf numFmtId="0" fontId="33" fillId="0" borderId="29" xfId="0" applyFont="1" applyBorder="1" applyAlignment="1">
      <alignment horizontal="center" vertical="center" wrapText="1"/>
    </xf>
    <xf numFmtId="43" fontId="33" fillId="0" borderId="31" xfId="1" applyFont="1" applyFill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43" fontId="32" fillId="0" borderId="32" xfId="1" applyFont="1" applyFill="1" applyBorder="1"/>
    <xf numFmtId="0" fontId="32" fillId="0" borderId="32" xfId="0" applyFont="1" applyBorder="1" applyAlignment="1">
      <alignment horizontal="center" vertical="center"/>
    </xf>
    <xf numFmtId="43" fontId="32" fillId="0" borderId="33" xfId="1" applyFont="1" applyFill="1" applyBorder="1"/>
    <xf numFmtId="43" fontId="32" fillId="0" borderId="5" xfId="1" applyFont="1" applyFill="1" applyBorder="1"/>
    <xf numFmtId="43" fontId="32" fillId="0" borderId="6" xfId="0" applyNumberFormat="1" applyFont="1" applyBorder="1" applyAlignment="1">
      <alignment horizontal="center"/>
    </xf>
    <xf numFmtId="43" fontId="32" fillId="0" borderId="6" xfId="1" applyFont="1" applyFill="1" applyBorder="1" applyAlignment="1"/>
    <xf numFmtId="43" fontId="32" fillId="0" borderId="3" xfId="1" applyFont="1" applyFill="1" applyBorder="1"/>
    <xf numFmtId="43" fontId="33" fillId="0" borderId="4" xfId="1" applyFont="1" applyFill="1" applyBorder="1"/>
    <xf numFmtId="43" fontId="33" fillId="0" borderId="6" xfId="1" applyFont="1" applyFill="1" applyBorder="1"/>
    <xf numFmtId="43" fontId="33" fillId="0" borderId="0" xfId="1" applyFont="1" applyFill="1" applyBorder="1"/>
    <xf numFmtId="43" fontId="33" fillId="0" borderId="0" xfId="0" applyNumberFormat="1" applyFont="1"/>
    <xf numFmtId="0" fontId="35" fillId="0" borderId="0" xfId="0" applyFont="1"/>
    <xf numFmtId="43" fontId="32" fillId="0" borderId="0" xfId="0" applyNumberFormat="1" applyFont="1"/>
    <xf numFmtId="15" fontId="8" fillId="0" borderId="0" xfId="0" applyNumberFormat="1" applyFont="1" applyAlignment="1">
      <alignment horizontal="center"/>
    </xf>
    <xf numFmtId="165" fontId="32" fillId="0" borderId="6" xfId="0" applyNumberFormat="1" applyFont="1" applyBorder="1"/>
    <xf numFmtId="172" fontId="32" fillId="0" borderId="6" xfId="1" applyNumberFormat="1" applyFont="1" applyFill="1" applyBorder="1" applyAlignment="1"/>
    <xf numFmtId="0" fontId="32" fillId="0" borderId="6" xfId="0" applyFont="1" applyBorder="1" applyAlignment="1">
      <alignment horizontal="left"/>
    </xf>
    <xf numFmtId="0" fontId="32" fillId="0" borderId="0" xfId="0" applyFont="1" applyAlignment="1">
      <alignment horizontal="right"/>
    </xf>
    <xf numFmtId="15" fontId="8" fillId="0" borderId="0" xfId="0" applyNumberFormat="1" applyFont="1" applyAlignment="1">
      <alignment horizontal="right"/>
    </xf>
    <xf numFmtId="0" fontId="32" fillId="0" borderId="26" xfId="0" applyFont="1" applyBorder="1" applyAlignment="1">
      <alignment horizontal="right" vertical="center"/>
    </xf>
    <xf numFmtId="0" fontId="32" fillId="0" borderId="6" xfId="0" applyFont="1" applyBorder="1" applyAlignment="1">
      <alignment horizontal="right"/>
    </xf>
    <xf numFmtId="171" fontId="32" fillId="0" borderId="6" xfId="0" applyNumberFormat="1" applyFont="1" applyBorder="1" applyAlignment="1">
      <alignment horizontal="right"/>
    </xf>
    <xf numFmtId="165" fontId="32" fillId="0" borderId="6" xfId="0" applyNumberFormat="1" applyFont="1" applyBorder="1" applyAlignment="1">
      <alignment horizontal="right"/>
    </xf>
    <xf numFmtId="172" fontId="32" fillId="0" borderId="6" xfId="1" applyNumberFormat="1" applyFont="1" applyFill="1" applyBorder="1" applyAlignment="1">
      <alignment horizontal="right"/>
    </xf>
    <xf numFmtId="165" fontId="32" fillId="0" borderId="0" xfId="0" applyNumberFormat="1" applyFont="1" applyAlignment="1">
      <alignment horizontal="right"/>
    </xf>
    <xf numFmtId="0" fontId="33" fillId="0" borderId="6" xfId="0" applyFont="1" applyBorder="1" applyAlignment="1">
      <alignment horizontal="right"/>
    </xf>
    <xf numFmtId="0" fontId="33" fillId="0" borderId="0" xfId="0" applyFont="1" applyAlignment="1">
      <alignment horizontal="right"/>
    </xf>
    <xf numFmtId="0" fontId="12" fillId="0" borderId="0" xfId="0" applyFont="1" applyAlignment="1">
      <alignment horizontal="centerContinuous" vertical="center"/>
    </xf>
    <xf numFmtId="0" fontId="36" fillId="0" borderId="0" xfId="0" applyFont="1" applyAlignment="1">
      <alignment horizontal="centerContinuous" vertical="center"/>
    </xf>
    <xf numFmtId="0" fontId="37" fillId="0" borderId="0" xfId="0" applyFont="1" applyAlignment="1">
      <alignment horizontal="centerContinuous" vertical="top"/>
    </xf>
    <xf numFmtId="0" fontId="0" fillId="0" borderId="0" xfId="0" applyAlignment="1">
      <alignment horizontal="centerContinuous" vertical="center"/>
    </xf>
    <xf numFmtId="0" fontId="17" fillId="0" borderId="34" xfId="0" applyFont="1" applyBorder="1" applyAlignment="1">
      <alignment horizontal="center"/>
    </xf>
    <xf numFmtId="166" fontId="11" fillId="0" borderId="1" xfId="0" applyNumberFormat="1" applyFont="1" applyBorder="1" applyAlignment="1">
      <alignment horizontal="center"/>
    </xf>
    <xf numFmtId="167" fontId="11" fillId="0" borderId="1" xfId="0" applyNumberFormat="1" applyFont="1" applyBorder="1" applyAlignment="1">
      <alignment horizontal="center"/>
    </xf>
    <xf numFmtId="20" fontId="11" fillId="0" borderId="35" xfId="0" applyNumberFormat="1" applyFont="1" applyBorder="1" applyAlignment="1">
      <alignment horizontal="center"/>
    </xf>
    <xf numFmtId="165" fontId="11" fillId="0" borderId="35" xfId="0" applyNumberFormat="1" applyFont="1" applyBorder="1" applyAlignment="1">
      <alignment horizontal="center"/>
    </xf>
    <xf numFmtId="166" fontId="11" fillId="0" borderId="36" xfId="0" applyNumberFormat="1" applyFont="1" applyBorder="1" applyAlignment="1">
      <alignment horizontal="center"/>
    </xf>
    <xf numFmtId="167" fontId="11" fillId="0" borderId="36" xfId="0" applyNumberFormat="1" applyFont="1" applyBorder="1" applyAlignment="1">
      <alignment horizontal="center"/>
    </xf>
    <xf numFmtId="166" fontId="11" fillId="0" borderId="35" xfId="0" applyNumberFormat="1" applyFont="1" applyBorder="1" applyAlignment="1">
      <alignment horizontal="center"/>
    </xf>
    <xf numFmtId="167" fontId="11" fillId="0" borderId="35" xfId="0" applyNumberFormat="1" applyFont="1" applyBorder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25" fillId="0" borderId="37" xfId="0" applyFont="1" applyBorder="1" applyAlignment="1">
      <alignment horizontal="center"/>
    </xf>
    <xf numFmtId="0" fontId="25" fillId="0" borderId="37" xfId="0" applyFont="1" applyBorder="1" applyAlignment="1">
      <alignment horizontal="right"/>
    </xf>
    <xf numFmtId="165" fontId="17" fillId="0" borderId="37" xfId="0" applyNumberFormat="1" applyFont="1" applyBorder="1" applyAlignment="1">
      <alignment horizontal="center"/>
    </xf>
    <xf numFmtId="165" fontId="25" fillId="0" borderId="37" xfId="0" applyNumberFormat="1" applyFont="1" applyBorder="1" applyAlignment="1">
      <alignment horizontal="center"/>
    </xf>
    <xf numFmtId="0" fontId="38" fillId="6" borderId="38" xfId="2" applyFont="1" applyFill="1" applyBorder="1" applyAlignment="1">
      <alignment horizontal="center" vertical="center"/>
    </xf>
    <xf numFmtId="0" fontId="0" fillId="0" borderId="0" xfId="0" applyAlignment="1">
      <alignment horizontal="centerContinuous" vertical="top"/>
    </xf>
    <xf numFmtId="4" fontId="11" fillId="0" borderId="9" xfId="0" applyNumberFormat="1" applyFont="1" applyBorder="1" applyAlignment="1">
      <alignment horizontal="center"/>
    </xf>
    <xf numFmtId="174" fontId="0" fillId="0" borderId="0" xfId="0" applyNumberFormat="1"/>
    <xf numFmtId="43" fontId="11" fillId="7" borderId="6" xfId="1" applyFont="1" applyFill="1" applyBorder="1" applyAlignment="1">
      <alignment horizontal="center"/>
    </xf>
    <xf numFmtId="43" fontId="32" fillId="0" borderId="0" xfId="1" applyFont="1"/>
    <xf numFmtId="9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7" fillId="0" borderId="0" xfId="0" applyFont="1" applyAlignment="1">
      <alignment horizontal="right"/>
    </xf>
    <xf numFmtId="2" fontId="0" fillId="0" borderId="0" xfId="0" applyNumberFormat="1" applyAlignment="1">
      <alignment horizontal="right"/>
    </xf>
    <xf numFmtId="2" fontId="14" fillId="0" borderId="0" xfId="0" applyNumberFormat="1" applyFont="1"/>
    <xf numFmtId="15" fontId="28" fillId="0" borderId="0" xfId="0" applyNumberFormat="1" applyFont="1" applyAlignment="1">
      <alignment horizontal="left"/>
    </xf>
    <xf numFmtId="0" fontId="28" fillId="0" borderId="0" xfId="0" applyFont="1"/>
    <xf numFmtId="15" fontId="28" fillId="0" borderId="0" xfId="0" applyNumberFormat="1" applyFont="1"/>
    <xf numFmtId="0" fontId="41" fillId="0" borderId="0" xfId="0" applyFont="1" applyAlignment="1">
      <alignment wrapText="1"/>
    </xf>
    <xf numFmtId="49" fontId="41" fillId="0" borderId="42" xfId="0" applyNumberFormat="1" applyFont="1" applyBorder="1" applyAlignment="1">
      <alignment wrapText="1"/>
    </xf>
    <xf numFmtId="0" fontId="41" fillId="0" borderId="41" xfId="0" applyFont="1" applyBorder="1" applyAlignment="1">
      <alignment horizontal="center" vertical="center"/>
    </xf>
    <xf numFmtId="0" fontId="0" fillId="0" borderId="11" xfId="0" applyBorder="1"/>
    <xf numFmtId="0" fontId="0" fillId="0" borderId="13" xfId="0" applyBorder="1"/>
    <xf numFmtId="0" fontId="0" fillId="0" borderId="12" xfId="0" applyBorder="1"/>
    <xf numFmtId="0" fontId="0" fillId="0" borderId="47" xfId="0" applyBorder="1"/>
    <xf numFmtId="0" fontId="0" fillId="0" borderId="48" xfId="0" applyBorder="1"/>
    <xf numFmtId="0" fontId="41" fillId="0" borderId="47" xfId="0" applyFont="1" applyBorder="1" applyAlignment="1">
      <alignment vertical="center" wrapText="1"/>
    </xf>
    <xf numFmtId="0" fontId="41" fillId="0" borderId="48" xfId="0" applyFont="1" applyBorder="1" applyAlignment="1">
      <alignment wrapText="1"/>
    </xf>
    <xf numFmtId="0" fontId="41" fillId="0" borderId="47" xfId="0" applyFont="1" applyBorder="1" applyAlignment="1">
      <alignment wrapText="1"/>
    </xf>
    <xf numFmtId="49" fontId="41" fillId="0" borderId="0" xfId="0" applyNumberFormat="1" applyFont="1" applyAlignment="1">
      <alignment wrapText="1"/>
    </xf>
    <xf numFmtId="49" fontId="41" fillId="0" borderId="47" xfId="0" applyNumberFormat="1" applyFont="1" applyBorder="1" applyAlignment="1">
      <alignment wrapText="1"/>
    </xf>
    <xf numFmtId="0" fontId="42" fillId="0" borderId="50" xfId="0" applyFont="1" applyBorder="1" applyAlignment="1">
      <alignment horizontal="right" wrapText="1"/>
    </xf>
    <xf numFmtId="0" fontId="41" fillId="0" borderId="51" xfId="0" applyFont="1" applyBorder="1" applyAlignment="1">
      <alignment horizontal="center" vertical="center"/>
    </xf>
    <xf numFmtId="49" fontId="41" fillId="0" borderId="52" xfId="0" applyNumberFormat="1" applyFont="1" applyBorder="1" applyAlignment="1">
      <alignment wrapText="1"/>
    </xf>
    <xf numFmtId="0" fontId="42" fillId="0" borderId="33" xfId="0" applyFont="1" applyBorder="1" applyAlignment="1">
      <alignment horizontal="right" wrapText="1"/>
    </xf>
    <xf numFmtId="4" fontId="41" fillId="0" borderId="41" xfId="0" applyNumberFormat="1" applyFont="1" applyBorder="1" applyAlignment="1">
      <alignment horizontal="center" wrapText="1"/>
    </xf>
    <xf numFmtId="4" fontId="41" fillId="0" borderId="48" xfId="0" applyNumberFormat="1" applyFont="1" applyBorder="1" applyAlignment="1">
      <alignment horizontal="center" wrapText="1"/>
    </xf>
    <xf numFmtId="0" fontId="42" fillId="0" borderId="0" xfId="0" applyFont="1" applyAlignment="1">
      <alignment vertical="center" wrapText="1"/>
    </xf>
    <xf numFmtId="0" fontId="42" fillId="0" borderId="0" xfId="0" applyFont="1" applyAlignment="1">
      <alignment vertical="center"/>
    </xf>
    <xf numFmtId="0" fontId="42" fillId="0" borderId="47" xfId="0" applyFont="1" applyBorder="1" applyAlignment="1">
      <alignment vertical="top" wrapText="1"/>
    </xf>
    <xf numFmtId="0" fontId="42" fillId="0" borderId="41" xfId="0" applyFont="1" applyBorder="1" applyAlignment="1">
      <alignment vertical="top" wrapText="1"/>
    </xf>
    <xf numFmtId="0" fontId="43" fillId="0" borderId="47" xfId="0" applyFont="1" applyBorder="1" applyAlignment="1">
      <alignment vertical="top" wrapText="1"/>
    </xf>
    <xf numFmtId="0" fontId="43" fillId="0" borderId="41" xfId="0" applyFont="1" applyBorder="1" applyAlignment="1">
      <alignment vertical="top" wrapText="1"/>
    </xf>
    <xf numFmtId="0" fontId="43" fillId="0" borderId="49" xfId="0" applyFont="1" applyBorder="1" applyAlignment="1">
      <alignment vertical="top" wrapText="1"/>
    </xf>
    <xf numFmtId="0" fontId="43" fillId="0" borderId="43" xfId="0" applyFont="1" applyBorder="1" applyAlignment="1">
      <alignment vertical="top" wrapText="1"/>
    </xf>
    <xf numFmtId="0" fontId="43" fillId="0" borderId="50" xfId="0" applyFont="1" applyBorder="1" applyAlignment="1">
      <alignment vertical="top" wrapText="1"/>
    </xf>
    <xf numFmtId="43" fontId="42" fillId="0" borderId="41" xfId="1" applyFont="1" applyBorder="1" applyAlignment="1">
      <alignment horizontal="right" wrapText="1"/>
    </xf>
    <xf numFmtId="43" fontId="42" fillId="0" borderId="41" xfId="1" applyFont="1" applyBorder="1" applyAlignment="1">
      <alignment vertical="top" wrapText="1"/>
    </xf>
    <xf numFmtId="43" fontId="43" fillId="0" borderId="41" xfId="1" applyFont="1" applyBorder="1" applyAlignment="1">
      <alignment vertical="top" wrapText="1"/>
    </xf>
    <xf numFmtId="43" fontId="43" fillId="0" borderId="50" xfId="1" applyFont="1" applyBorder="1" applyAlignment="1">
      <alignment vertical="top" wrapText="1"/>
    </xf>
    <xf numFmtId="43" fontId="42" fillId="0" borderId="48" xfId="1" applyFont="1" applyBorder="1" applyAlignment="1">
      <alignment horizontal="right" wrapText="1"/>
    </xf>
    <xf numFmtId="43" fontId="42" fillId="0" borderId="33" xfId="1" applyFont="1" applyBorder="1" applyAlignment="1">
      <alignment horizontal="right" wrapText="1"/>
    </xf>
    <xf numFmtId="0" fontId="32" fillId="0" borderId="6" xfId="3" applyFont="1" applyBorder="1"/>
    <xf numFmtId="43" fontId="32" fillId="0" borderId="6" xfId="4" applyFont="1" applyFill="1" applyBorder="1"/>
    <xf numFmtId="43" fontId="32" fillId="0" borderId="6" xfId="3" applyNumberFormat="1" applyFont="1" applyBorder="1"/>
    <xf numFmtId="43" fontId="32" fillId="0" borderId="31" xfId="4" applyFont="1" applyFill="1" applyBorder="1" applyAlignment="1">
      <alignment horizontal="center" vertical="center"/>
    </xf>
    <xf numFmtId="0" fontId="32" fillId="0" borderId="62" xfId="0" applyFont="1" applyBorder="1" applyAlignment="1">
      <alignment horizontal="center" vertical="center" wrapText="1"/>
    </xf>
    <xf numFmtId="43" fontId="32" fillId="0" borderId="61" xfId="4" applyFont="1" applyFill="1" applyBorder="1" applyAlignment="1">
      <alignment horizontal="center" vertical="center" wrapText="1"/>
    </xf>
    <xf numFmtId="43" fontId="32" fillId="0" borderId="31" xfId="4" applyFont="1" applyFill="1" applyBorder="1" applyAlignment="1">
      <alignment horizontal="center" vertical="center" wrapText="1"/>
    </xf>
    <xf numFmtId="43" fontId="9" fillId="0" borderId="31" xfId="4" applyFont="1" applyFill="1" applyBorder="1" applyAlignment="1">
      <alignment horizontal="center" vertical="center" wrapText="1"/>
    </xf>
    <xf numFmtId="43" fontId="42" fillId="0" borderId="50" xfId="1" applyFont="1" applyBorder="1" applyAlignment="1">
      <alignment horizontal="right" wrapText="1"/>
    </xf>
    <xf numFmtId="0" fontId="44" fillId="0" borderId="0" xfId="0" applyFont="1" applyAlignment="1">
      <alignment horizontal="center"/>
    </xf>
    <xf numFmtId="4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43" fontId="42" fillId="0" borderId="46" xfId="1" applyFont="1" applyBorder="1" applyAlignment="1">
      <alignment horizontal="right" wrapText="1"/>
    </xf>
    <xf numFmtId="43" fontId="45" fillId="0" borderId="48" xfId="4" applyFont="1" applyFill="1" applyBorder="1"/>
    <xf numFmtId="43" fontId="42" fillId="0" borderId="41" xfId="1" applyFont="1" applyBorder="1" applyAlignment="1">
      <alignment horizontal="right" vertical="top" wrapText="1"/>
    </xf>
    <xf numFmtId="43" fontId="43" fillId="0" borderId="41" xfId="1" applyFont="1" applyBorder="1" applyAlignment="1">
      <alignment horizontal="right" vertical="top" wrapText="1"/>
    </xf>
    <xf numFmtId="43" fontId="43" fillId="0" borderId="43" xfId="1" applyFont="1" applyBorder="1" applyAlignment="1">
      <alignment horizontal="right" vertical="top" wrapText="1"/>
    </xf>
    <xf numFmtId="43" fontId="45" fillId="0" borderId="12" xfId="4" applyFont="1" applyFill="1" applyBorder="1"/>
    <xf numFmtId="43" fontId="45" fillId="0" borderId="48" xfId="1" applyFont="1" applyFill="1" applyBorder="1"/>
    <xf numFmtId="43" fontId="45" fillId="0" borderId="48" xfId="1" applyFont="1" applyFill="1" applyBorder="1" applyAlignment="1"/>
    <xf numFmtId="43" fontId="45" fillId="0" borderId="33" xfId="0" applyNumberFormat="1" applyFont="1" applyBorder="1"/>
    <xf numFmtId="0" fontId="41" fillId="0" borderId="47" xfId="0" applyFont="1" applyBorder="1" applyAlignment="1">
      <alignment vertical="top" wrapText="1"/>
    </xf>
    <xf numFmtId="165" fontId="26" fillId="0" borderId="6" xfId="0" applyNumberFormat="1" applyFont="1" applyBorder="1"/>
    <xf numFmtId="43" fontId="14" fillId="0" borderId="6" xfId="1" applyFont="1" applyBorder="1" applyAlignment="1">
      <alignment horizontal="center"/>
    </xf>
    <xf numFmtId="0" fontId="40" fillId="0" borderId="6" xfId="0" applyFont="1" applyBorder="1"/>
    <xf numFmtId="0" fontId="32" fillId="0" borderId="63" xfId="0" applyFont="1" applyBorder="1" applyAlignment="1">
      <alignment horizontal="center" vertical="center" wrapText="1"/>
    </xf>
    <xf numFmtId="43" fontId="32" fillId="0" borderId="6" xfId="8" applyFont="1" applyFill="1" applyBorder="1" applyAlignment="1"/>
    <xf numFmtId="43" fontId="32" fillId="0" borderId="2" xfId="1" applyFont="1" applyFill="1" applyBorder="1"/>
    <xf numFmtId="43" fontId="46" fillId="0" borderId="0" xfId="1" applyFont="1" applyFill="1"/>
    <xf numFmtId="43" fontId="14" fillId="0" borderId="0" xfId="1" applyFont="1" applyBorder="1" applyAlignment="1">
      <alignment horizontal="center"/>
    </xf>
    <xf numFmtId="0" fontId="41" fillId="0" borderId="64" xfId="0" applyFont="1" applyBorder="1" applyAlignment="1">
      <alignment horizontal="center" vertical="center"/>
    </xf>
    <xf numFmtId="0" fontId="40" fillId="0" borderId="0" xfId="0" applyFont="1"/>
    <xf numFmtId="43" fontId="32" fillId="0" borderId="6" xfId="1" applyFont="1" applyBorder="1"/>
    <xf numFmtId="20" fontId="11" fillId="7" borderId="6" xfId="0" applyNumberFormat="1" applyFont="1" applyFill="1" applyBorder="1" applyAlignment="1">
      <alignment horizontal="center"/>
    </xf>
    <xf numFmtId="165" fontId="11" fillId="7" borderId="6" xfId="0" applyNumberFormat="1" applyFont="1" applyFill="1" applyBorder="1" applyAlignment="1">
      <alignment horizontal="center"/>
    </xf>
    <xf numFmtId="43" fontId="0" fillId="0" borderId="6" xfId="1" applyFont="1" applyFill="1" applyBorder="1" applyAlignment="1">
      <alignment horizontal="center"/>
    </xf>
    <xf numFmtId="165" fontId="11" fillId="0" borderId="6" xfId="0" applyNumberFormat="1" applyFont="1" applyBorder="1"/>
    <xf numFmtId="165" fontId="21" fillId="0" borderId="6" xfId="0" applyNumberFormat="1" applyFont="1" applyBorder="1" applyAlignment="1">
      <alignment horizontal="center"/>
    </xf>
    <xf numFmtId="175" fontId="0" fillId="0" borderId="0" xfId="0" applyNumberFormat="1" applyAlignment="1">
      <alignment horizontal="left"/>
    </xf>
    <xf numFmtId="175" fontId="40" fillId="0" borderId="0" xfId="0" applyNumberFormat="1" applyFont="1"/>
    <xf numFmtId="43" fontId="14" fillId="0" borderId="0" xfId="0" applyNumberFormat="1" applyFont="1"/>
    <xf numFmtId="43" fontId="32" fillId="0" borderId="5" xfId="0" applyNumberFormat="1" applyFont="1" applyBorder="1"/>
    <xf numFmtId="43" fontId="32" fillId="0" borderId="14" xfId="0" applyNumberFormat="1" applyFont="1" applyBorder="1"/>
    <xf numFmtId="43" fontId="32" fillId="0" borderId="4" xfId="4" applyFont="1" applyFill="1" applyBorder="1"/>
    <xf numFmtId="43" fontId="32" fillId="0" borderId="5" xfId="4" applyFont="1" applyFill="1" applyBorder="1"/>
    <xf numFmtId="0" fontId="32" fillId="0" borderId="5" xfId="0" applyFont="1" applyBorder="1"/>
    <xf numFmtId="43" fontId="32" fillId="0" borderId="14" xfId="1" applyFont="1" applyFill="1" applyBorder="1"/>
    <xf numFmtId="43" fontId="32" fillId="0" borderId="26" xfId="4" applyFont="1" applyFill="1" applyBorder="1"/>
    <xf numFmtId="43" fontId="47" fillId="0" borderId="6" xfId="1" applyFont="1" applyBorder="1" applyAlignment="1">
      <alignment horizontal="right" wrapText="1"/>
    </xf>
    <xf numFmtId="43" fontId="40" fillId="0" borderId="6" xfId="1" applyFont="1" applyBorder="1" applyAlignment="1">
      <alignment wrapText="1"/>
    </xf>
    <xf numFmtId="43" fontId="32" fillId="0" borderId="6" xfId="8" applyFont="1" applyFill="1" applyBorder="1"/>
    <xf numFmtId="43" fontId="32" fillId="0" borderId="0" xfId="8" applyFont="1"/>
    <xf numFmtId="164" fontId="32" fillId="0" borderId="0" xfId="7" applyNumberFormat="1" applyFont="1"/>
    <xf numFmtId="43" fontId="33" fillId="0" borderId="0" xfId="8" applyFont="1"/>
    <xf numFmtId="43" fontId="35" fillId="0" borderId="0" xfId="8" applyFont="1"/>
    <xf numFmtId="43" fontId="48" fillId="0" borderId="0" xfId="8" applyFont="1"/>
    <xf numFmtId="43" fontId="49" fillId="0" borderId="0" xfId="8" applyFont="1"/>
    <xf numFmtId="43" fontId="48" fillId="0" borderId="0" xfId="7" applyNumberFormat="1" applyFont="1"/>
    <xf numFmtId="43" fontId="46" fillId="0" borderId="0" xfId="8" applyFont="1"/>
    <xf numFmtId="43" fontId="32" fillId="0" borderId="20" xfId="8" applyFont="1" applyBorder="1" applyAlignment="1">
      <alignment vertical="center"/>
    </xf>
    <xf numFmtId="43" fontId="32" fillId="0" borderId="0" xfId="8" applyFont="1" applyBorder="1" applyAlignment="1">
      <alignment vertical="center"/>
    </xf>
    <xf numFmtId="0" fontId="32" fillId="0" borderId="0" xfId="7" applyFont="1"/>
    <xf numFmtId="43" fontId="33" fillId="0" borderId="0" xfId="1" applyFont="1"/>
    <xf numFmtId="43" fontId="32" fillId="0" borderId="6" xfId="7" applyNumberFormat="1" applyFont="1" applyBorder="1"/>
    <xf numFmtId="43" fontId="32" fillId="0" borderId="6" xfId="8" applyFont="1" applyFill="1" applyBorder="1" applyAlignment="1">
      <alignment horizontal="center"/>
    </xf>
    <xf numFmtId="0" fontId="50" fillId="0" borderId="0" xfId="0" applyFont="1"/>
    <xf numFmtId="0" fontId="40" fillId="0" borderId="11" xfId="9" applyBorder="1"/>
    <xf numFmtId="0" fontId="40" fillId="0" borderId="13" xfId="9" applyBorder="1"/>
    <xf numFmtId="0" fontId="40" fillId="0" borderId="12" xfId="9" applyBorder="1"/>
    <xf numFmtId="0" fontId="40" fillId="0" borderId="0" xfId="9"/>
    <xf numFmtId="0" fontId="40" fillId="0" borderId="47" xfId="9" applyBorder="1"/>
    <xf numFmtId="0" fontId="40" fillId="0" borderId="48" xfId="9" applyBorder="1"/>
    <xf numFmtId="0" fontId="41" fillId="0" borderId="47" xfId="9" applyFont="1" applyBorder="1" applyAlignment="1">
      <alignment vertical="center" wrapText="1"/>
    </xf>
    <xf numFmtId="0" fontId="42" fillId="0" borderId="0" xfId="9" applyFont="1" applyAlignment="1">
      <alignment vertical="center" wrapText="1"/>
    </xf>
    <xf numFmtId="0" fontId="41" fillId="0" borderId="0" xfId="9" applyFont="1" applyAlignment="1">
      <alignment wrapText="1"/>
    </xf>
    <xf numFmtId="0" fontId="41" fillId="0" borderId="48" xfId="9" applyFont="1" applyBorder="1" applyAlignment="1">
      <alignment wrapText="1"/>
    </xf>
    <xf numFmtId="0" fontId="42" fillId="0" borderId="0" xfId="9" applyFont="1" applyAlignment="1">
      <alignment vertical="center"/>
    </xf>
    <xf numFmtId="0" fontId="41" fillId="0" borderId="47" xfId="9" applyFont="1" applyBorder="1" applyAlignment="1">
      <alignment wrapText="1"/>
    </xf>
    <xf numFmtId="49" fontId="41" fillId="0" borderId="0" xfId="9" applyNumberFormat="1" applyFont="1" applyAlignment="1">
      <alignment wrapText="1"/>
    </xf>
    <xf numFmtId="49" fontId="41" fillId="0" borderId="47" xfId="9" applyNumberFormat="1" applyFont="1" applyBorder="1" applyAlignment="1">
      <alignment wrapText="1"/>
    </xf>
    <xf numFmtId="0" fontId="42" fillId="0" borderId="47" xfId="9" applyFont="1" applyBorder="1" applyAlignment="1">
      <alignment vertical="top" wrapText="1"/>
    </xf>
    <xf numFmtId="0" fontId="41" fillId="0" borderId="47" xfId="9" applyFont="1" applyBorder="1" applyAlignment="1">
      <alignment vertical="top" wrapText="1"/>
    </xf>
    <xf numFmtId="0" fontId="43" fillId="0" borderId="47" xfId="9" applyFont="1" applyBorder="1" applyAlignment="1">
      <alignment vertical="top" wrapText="1"/>
    </xf>
    <xf numFmtId="0" fontId="43" fillId="0" borderId="49" xfId="9" applyFont="1" applyBorder="1" applyAlignment="1">
      <alignment vertical="top" wrapText="1"/>
    </xf>
    <xf numFmtId="49" fontId="41" fillId="0" borderId="52" xfId="9" applyNumberFormat="1" applyFont="1" applyBorder="1" applyAlignment="1">
      <alignment wrapText="1"/>
    </xf>
    <xf numFmtId="0" fontId="41" fillId="0" borderId="51" xfId="9" applyFont="1" applyBorder="1" applyAlignment="1">
      <alignment horizontal="center" vertical="center"/>
    </xf>
    <xf numFmtId="4" fontId="41" fillId="0" borderId="41" xfId="9" applyNumberFormat="1" applyFont="1" applyBorder="1" applyAlignment="1">
      <alignment horizontal="center" wrapText="1"/>
    </xf>
    <xf numFmtId="0" fontId="41" fillId="0" borderId="41" xfId="9" applyFont="1" applyBorder="1" applyAlignment="1">
      <alignment horizontal="center" vertical="center"/>
    </xf>
    <xf numFmtId="4" fontId="41" fillId="0" borderId="48" xfId="9" applyNumberFormat="1" applyFont="1" applyBorder="1" applyAlignment="1">
      <alignment horizontal="center" wrapText="1"/>
    </xf>
    <xf numFmtId="43" fontId="45" fillId="0" borderId="12" xfId="10" applyFont="1" applyFill="1" applyBorder="1"/>
    <xf numFmtId="0" fontId="41" fillId="0" borderId="11" xfId="9" applyFont="1" applyBorder="1" applyAlignment="1">
      <alignment wrapText="1"/>
    </xf>
    <xf numFmtId="43" fontId="45" fillId="0" borderId="48" xfId="10" applyFont="1" applyFill="1" applyBorder="1"/>
    <xf numFmtId="0" fontId="42" fillId="0" borderId="41" xfId="9" applyFont="1" applyBorder="1" applyAlignment="1">
      <alignment vertical="top" wrapText="1"/>
    </xf>
    <xf numFmtId="0" fontId="43" fillId="0" borderId="41" xfId="9" applyFont="1" applyBorder="1" applyAlignment="1">
      <alignment vertical="top" wrapText="1"/>
    </xf>
    <xf numFmtId="0" fontId="43" fillId="0" borderId="43" xfId="9" applyFont="1" applyBorder="1" applyAlignment="1">
      <alignment vertical="top" wrapText="1"/>
    </xf>
    <xf numFmtId="49" fontId="41" fillId="0" borderId="42" xfId="9" applyNumberFormat="1" applyFont="1" applyBorder="1" applyAlignment="1">
      <alignment wrapText="1"/>
    </xf>
    <xf numFmtId="0" fontId="44" fillId="0" borderId="0" xfId="9" applyFont="1" applyAlignment="1">
      <alignment horizontal="center"/>
    </xf>
    <xf numFmtId="4" fontId="21" fillId="0" borderId="0" xfId="9" applyNumberFormat="1" applyFont="1" applyAlignment="1">
      <alignment horizontal="center"/>
    </xf>
    <xf numFmtId="0" fontId="21" fillId="0" borderId="0" xfId="9" applyFont="1" applyAlignment="1">
      <alignment horizontal="center"/>
    </xf>
    <xf numFmtId="15" fontId="42" fillId="0" borderId="0" xfId="9" applyNumberFormat="1" applyFont="1" applyAlignment="1">
      <alignment horizontal="left" vertical="center" wrapText="1"/>
    </xf>
    <xf numFmtId="0" fontId="43" fillId="0" borderId="50" xfId="9" applyFont="1" applyBorder="1" applyAlignment="1">
      <alignment vertical="top" wrapText="1"/>
    </xf>
    <xf numFmtId="0" fontId="42" fillId="0" borderId="33" xfId="9" applyFont="1" applyBorder="1" applyAlignment="1">
      <alignment horizontal="right" wrapText="1"/>
    </xf>
    <xf numFmtId="43" fontId="16" fillId="0" borderId="0" xfId="0" applyNumberFormat="1" applyFont="1" applyAlignment="1">
      <alignment vertical="center" wrapText="1"/>
    </xf>
    <xf numFmtId="43" fontId="11" fillId="0" borderId="0" xfId="1" applyFont="1"/>
    <xf numFmtId="43" fontId="11" fillId="0" borderId="0" xfId="0" applyNumberFormat="1" applyFont="1"/>
    <xf numFmtId="13" fontId="0" fillId="0" borderId="0" xfId="0" applyNumberFormat="1"/>
    <xf numFmtId="165" fontId="0" fillId="0" borderId="6" xfId="0" applyNumberFormat="1" applyBorder="1"/>
    <xf numFmtId="0" fontId="51" fillId="0" borderId="0" xfId="0" applyFont="1"/>
    <xf numFmtId="43" fontId="32" fillId="0" borderId="2" xfId="0" applyNumberFormat="1" applyFont="1" applyBorder="1"/>
    <xf numFmtId="43" fontId="46" fillId="0" borderId="0" xfId="0" applyNumberFormat="1" applyFont="1"/>
    <xf numFmtId="0" fontId="41" fillId="0" borderId="65" xfId="9" applyFont="1" applyBorder="1" applyAlignment="1">
      <alignment horizontal="center" vertical="center"/>
    </xf>
    <xf numFmtId="4" fontId="41" fillId="0" borderId="66" xfId="9" applyNumberFormat="1" applyFont="1" applyBorder="1" applyAlignment="1">
      <alignment horizontal="center" wrapText="1"/>
    </xf>
    <xf numFmtId="0" fontId="41" fillId="0" borderId="66" xfId="9" applyFont="1" applyBorder="1" applyAlignment="1">
      <alignment horizontal="center" vertical="center"/>
    </xf>
    <xf numFmtId="4" fontId="41" fillId="0" borderId="33" xfId="9" applyNumberFormat="1" applyFont="1" applyBorder="1" applyAlignment="1">
      <alignment horizontal="center" wrapText="1"/>
    </xf>
    <xf numFmtId="43" fontId="54" fillId="0" borderId="0" xfId="1" applyFont="1" applyBorder="1" applyAlignment="1">
      <alignment wrapText="1"/>
    </xf>
    <xf numFmtId="43" fontId="32" fillId="0" borderId="0" xfId="1" applyFont="1" applyBorder="1" applyAlignment="1">
      <alignment vertical="center"/>
    </xf>
    <xf numFmtId="43" fontId="32" fillId="0" borderId="0" xfId="1" applyFont="1" applyBorder="1"/>
    <xf numFmtId="43" fontId="54" fillId="0" borderId="0" xfId="1" applyFont="1" applyBorder="1" applyAlignment="1">
      <alignment horizontal="right" wrapText="1"/>
    </xf>
    <xf numFmtId="15" fontId="42" fillId="0" borderId="0" xfId="9" applyNumberFormat="1" applyFont="1" applyAlignment="1">
      <alignment horizontal="left" vertical="center"/>
    </xf>
    <xf numFmtId="0" fontId="14" fillId="0" borderId="0" xfId="9" applyFont="1"/>
    <xf numFmtId="43" fontId="54" fillId="0" borderId="0" xfId="1" applyFont="1" applyAlignment="1">
      <alignment horizontal="right" wrapText="1"/>
    </xf>
    <xf numFmtId="43" fontId="54" fillId="0" borderId="0" xfId="1" applyFont="1" applyAlignment="1">
      <alignment wrapText="1"/>
    </xf>
    <xf numFmtId="43" fontId="48" fillId="0" borderId="0" xfId="1" applyFont="1"/>
    <xf numFmtId="43" fontId="49" fillId="0" borderId="0" xfId="1" applyFont="1"/>
    <xf numFmtId="43" fontId="46" fillId="0" borderId="0" xfId="1" applyFont="1"/>
    <xf numFmtId="13" fontId="32" fillId="0" borderId="0" xfId="1" applyNumberFormat="1" applyFont="1" applyFill="1"/>
    <xf numFmtId="0" fontId="55" fillId="0" borderId="0" xfId="0" applyFont="1"/>
    <xf numFmtId="4" fontId="55" fillId="0" borderId="0" xfId="0" applyNumberFormat="1" applyFont="1"/>
    <xf numFmtId="169" fontId="0" fillId="9" borderId="6" xfId="1" applyNumberFormat="1" applyFont="1" applyFill="1" applyBorder="1" applyAlignment="1">
      <alignment horizontal="center"/>
    </xf>
    <xf numFmtId="20" fontId="11" fillId="9" borderId="6" xfId="0" applyNumberFormat="1" applyFont="1" applyFill="1" applyBorder="1" applyAlignment="1">
      <alignment horizontal="center"/>
    </xf>
    <xf numFmtId="165" fontId="11" fillId="9" borderId="6" xfId="0" applyNumberFormat="1" applyFont="1" applyFill="1" applyBorder="1" applyAlignment="1">
      <alignment horizontal="center"/>
    </xf>
    <xf numFmtId="168" fontId="0" fillId="9" borderId="6" xfId="0" applyNumberFormat="1" applyFill="1" applyBorder="1" applyAlignment="1">
      <alignment horizontal="center"/>
    </xf>
    <xf numFmtId="43" fontId="11" fillId="9" borderId="6" xfId="1" applyFont="1" applyFill="1" applyBorder="1" applyAlignment="1">
      <alignment horizontal="center"/>
    </xf>
    <xf numFmtId="168" fontId="17" fillId="0" borderId="6" xfId="1" applyNumberFormat="1" applyFont="1" applyBorder="1" applyAlignment="1">
      <alignment horizontal="center"/>
    </xf>
    <xf numFmtId="166" fontId="11" fillId="9" borderId="6" xfId="0" applyNumberFormat="1" applyFont="1" applyFill="1" applyBorder="1" applyAlignment="1">
      <alignment horizontal="center"/>
    </xf>
    <xf numFmtId="167" fontId="11" fillId="9" borderId="6" xfId="0" applyNumberFormat="1" applyFont="1" applyFill="1" applyBorder="1" applyAlignment="1">
      <alignment horizontal="center"/>
    </xf>
    <xf numFmtId="168" fontId="11" fillId="9" borderId="6" xfId="0" applyNumberFormat="1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/>
    </xf>
    <xf numFmtId="168" fontId="40" fillId="9" borderId="6" xfId="0" applyNumberFormat="1" applyFont="1" applyFill="1" applyBorder="1" applyAlignment="1">
      <alignment horizontal="center"/>
    </xf>
    <xf numFmtId="168" fontId="0" fillId="0" borderId="0" xfId="0" applyNumberFormat="1"/>
    <xf numFmtId="43" fontId="32" fillId="10" borderId="26" xfId="1" applyFont="1" applyFill="1" applyBorder="1"/>
    <xf numFmtId="43" fontId="32" fillId="10" borderId="6" xfId="1" applyFont="1" applyFill="1" applyBorder="1"/>
    <xf numFmtId="43" fontId="32" fillId="2" borderId="26" xfId="1" applyFont="1" applyFill="1" applyBorder="1"/>
    <xf numFmtId="43" fontId="32" fillId="2" borderId="6" xfId="1" applyFont="1" applyFill="1" applyBorder="1"/>
    <xf numFmtId="43" fontId="32" fillId="11" borderId="26" xfId="1" applyFont="1" applyFill="1" applyBorder="1"/>
    <xf numFmtId="164" fontId="32" fillId="11" borderId="6" xfId="0" applyNumberFormat="1" applyFont="1" applyFill="1" applyBorder="1"/>
    <xf numFmtId="0" fontId="0" fillId="9" borderId="6" xfId="0" applyFill="1" applyBorder="1"/>
    <xf numFmtId="0" fontId="18" fillId="9" borderId="6" xfId="0" applyFont="1" applyFill="1" applyBorder="1"/>
    <xf numFmtId="0" fontId="18" fillId="9" borderId="6" xfId="0" applyFont="1" applyFill="1" applyBorder="1" applyAlignment="1">
      <alignment horizontal="center"/>
    </xf>
    <xf numFmtId="0" fontId="18" fillId="9" borderId="4" xfId="0" applyFont="1" applyFill="1" applyBorder="1" applyAlignment="1">
      <alignment horizontal="center"/>
    </xf>
    <xf numFmtId="165" fontId="17" fillId="9" borderId="6" xfId="0" applyNumberFormat="1" applyFont="1" applyFill="1" applyBorder="1" applyAlignment="1">
      <alignment horizontal="center"/>
    </xf>
    <xf numFmtId="168" fontId="17" fillId="9" borderId="6" xfId="0" applyNumberFormat="1" applyFont="1" applyFill="1" applyBorder="1" applyAlignment="1">
      <alignment horizontal="center" vertical="center"/>
    </xf>
    <xf numFmtId="43" fontId="17" fillId="9" borderId="6" xfId="1" applyFont="1" applyFill="1" applyBorder="1" applyAlignment="1">
      <alignment horizontal="center" vertical="center"/>
    </xf>
    <xf numFmtId="0" fontId="17" fillId="9" borderId="6" xfId="0" applyFont="1" applyFill="1" applyBorder="1" applyAlignment="1">
      <alignment horizontal="center"/>
    </xf>
    <xf numFmtId="0" fontId="17" fillId="9" borderId="6" xfId="0" applyFont="1" applyFill="1" applyBorder="1" applyAlignment="1">
      <alignment horizontal="center" wrapText="1"/>
    </xf>
    <xf numFmtId="0" fontId="22" fillId="9" borderId="6" xfId="0" applyFont="1" applyFill="1" applyBorder="1" applyAlignment="1">
      <alignment horizontal="center" wrapText="1"/>
    </xf>
    <xf numFmtId="43" fontId="32" fillId="12" borderId="0" xfId="8" applyFont="1" applyFill="1" applyAlignment="1"/>
    <xf numFmtId="43" fontId="32" fillId="12" borderId="0" xfId="8" applyFont="1" applyFill="1"/>
    <xf numFmtId="43" fontId="48" fillId="12" borderId="0" xfId="8" applyFont="1" applyFill="1"/>
    <xf numFmtId="43" fontId="49" fillId="12" borderId="0" xfId="8" applyFont="1" applyFill="1"/>
    <xf numFmtId="43" fontId="33" fillId="12" borderId="0" xfId="8" applyFont="1" applyFill="1"/>
    <xf numFmtId="43" fontId="53" fillId="9" borderId="6" xfId="1" applyFont="1" applyFill="1" applyBorder="1" applyAlignment="1">
      <alignment horizontal="center"/>
    </xf>
    <xf numFmtId="0" fontId="18" fillId="0" borderId="8" xfId="0" applyFont="1" applyBorder="1" applyAlignment="1">
      <alignment horizontal="center"/>
    </xf>
    <xf numFmtId="169" fontId="52" fillId="9" borderId="6" xfId="1" applyNumberFormat="1" applyFont="1" applyFill="1" applyBorder="1" applyAlignment="1">
      <alignment horizontal="center"/>
    </xf>
    <xf numFmtId="0" fontId="17" fillId="9" borderId="4" xfId="0" applyFont="1" applyFill="1" applyBorder="1"/>
    <xf numFmtId="0" fontId="19" fillId="9" borderId="5" xfId="0" applyFont="1" applyFill="1" applyBorder="1"/>
    <xf numFmtId="0" fontId="20" fillId="9" borderId="6" xfId="0" applyFont="1" applyFill="1" applyBorder="1"/>
    <xf numFmtId="0" fontId="21" fillId="9" borderId="6" xfId="0" applyFont="1" applyFill="1" applyBorder="1" applyAlignment="1">
      <alignment horizontal="center"/>
    </xf>
    <xf numFmtId="0" fontId="26" fillId="9" borderId="6" xfId="0" applyFont="1" applyFill="1" applyBorder="1"/>
    <xf numFmtId="43" fontId="25" fillId="9" borderId="6" xfId="1" applyFont="1" applyFill="1" applyBorder="1" applyAlignment="1">
      <alignment horizontal="center"/>
    </xf>
    <xf numFmtId="169" fontId="25" fillId="9" borderId="6" xfId="1" applyNumberFormat="1" applyFont="1" applyFill="1" applyBorder="1" applyAlignment="1">
      <alignment horizontal="center"/>
    </xf>
    <xf numFmtId="43" fontId="31" fillId="9" borderId="6" xfId="1" applyFont="1" applyFill="1" applyBorder="1"/>
    <xf numFmtId="0" fontId="11" fillId="9" borderId="6" xfId="0" applyFont="1" applyFill="1" applyBorder="1"/>
    <xf numFmtId="0" fontId="11" fillId="9" borderId="6" xfId="0" applyFont="1" applyFill="1" applyBorder="1" applyAlignment="1">
      <alignment horizontal="right"/>
    </xf>
    <xf numFmtId="0" fontId="11" fillId="9" borderId="3" xfId="0" applyFont="1" applyFill="1" applyBorder="1"/>
    <xf numFmtId="43" fontId="17" fillId="9" borderId="6" xfId="1" applyFont="1" applyFill="1" applyBorder="1" applyAlignment="1">
      <alignment horizontal="center"/>
    </xf>
    <xf numFmtId="43" fontId="0" fillId="9" borderId="6" xfId="1" applyFont="1" applyFill="1" applyBorder="1" applyAlignment="1">
      <alignment horizontal="center"/>
    </xf>
    <xf numFmtId="43" fontId="17" fillId="9" borderId="6" xfId="0" applyNumberFormat="1" applyFont="1" applyFill="1" applyBorder="1"/>
    <xf numFmtId="0" fontId="17" fillId="9" borderId="4" xfId="0" applyFont="1" applyFill="1" applyBorder="1" applyAlignment="1">
      <alignment horizontal="left"/>
    </xf>
    <xf numFmtId="0" fontId="17" fillId="9" borderId="5" xfId="0" applyFont="1" applyFill="1" applyBorder="1" applyAlignment="1">
      <alignment horizontal="left"/>
    </xf>
    <xf numFmtId="0" fontId="11" fillId="9" borderId="4" xfId="0" applyFont="1" applyFill="1" applyBorder="1" applyAlignment="1">
      <alignment horizontal="right"/>
    </xf>
    <xf numFmtId="0" fontId="11" fillId="9" borderId="11" xfId="0" applyFont="1" applyFill="1" applyBorder="1" applyAlignment="1">
      <alignment horizontal="right"/>
    </xf>
    <xf numFmtId="165" fontId="17" fillId="9" borderId="14" xfId="0" applyNumberFormat="1" applyFont="1" applyFill="1" applyBorder="1" applyAlignment="1">
      <alignment horizontal="center"/>
    </xf>
    <xf numFmtId="43" fontId="25" fillId="9" borderId="14" xfId="1" applyFont="1" applyFill="1" applyBorder="1"/>
    <xf numFmtId="0" fontId="17" fillId="9" borderId="11" xfId="0" applyFont="1" applyFill="1" applyBorder="1" applyAlignment="1">
      <alignment horizontal="left"/>
    </xf>
    <xf numFmtId="0" fontId="17" fillId="9" borderId="12" xfId="0" applyFont="1" applyFill="1" applyBorder="1" applyAlignment="1">
      <alignment horizontal="left"/>
    </xf>
    <xf numFmtId="43" fontId="27" fillId="9" borderId="6" xfId="1" applyFont="1" applyFill="1" applyBorder="1"/>
    <xf numFmtId="0" fontId="33" fillId="0" borderId="15" xfId="0" applyFont="1" applyBorder="1" applyAlignment="1">
      <alignment horizontal="center" vertical="center" wrapText="1"/>
    </xf>
    <xf numFmtId="0" fontId="33" fillId="0" borderId="19" xfId="0" applyFont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 wrapText="1"/>
    </xf>
    <xf numFmtId="0" fontId="33" fillId="0" borderId="15" xfId="0" applyFont="1" applyBorder="1" applyAlignment="1">
      <alignment horizontal="center" vertical="center"/>
    </xf>
    <xf numFmtId="0" fontId="33" fillId="0" borderId="19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 vertical="center" wrapText="1"/>
    </xf>
    <xf numFmtId="0" fontId="33" fillId="0" borderId="60" xfId="0" applyFont="1" applyBorder="1" applyAlignment="1">
      <alignment horizontal="center" vertical="center" wrapText="1"/>
    </xf>
    <xf numFmtId="0" fontId="33" fillId="0" borderId="56" xfId="0" applyFont="1" applyBorder="1" applyAlignment="1">
      <alignment horizontal="center" vertical="center" wrapText="1"/>
    </xf>
    <xf numFmtId="0" fontId="33" fillId="0" borderId="57" xfId="0" applyFont="1" applyBorder="1" applyAlignment="1">
      <alignment horizontal="center" vertical="center"/>
    </xf>
    <xf numFmtId="0" fontId="33" fillId="0" borderId="58" xfId="0" applyFont="1" applyBorder="1" applyAlignment="1">
      <alignment horizontal="center" vertical="center"/>
    </xf>
    <xf numFmtId="0" fontId="33" fillId="0" borderId="32" xfId="0" applyFont="1" applyBorder="1" applyAlignment="1">
      <alignment horizontal="center" vertical="center"/>
    </xf>
    <xf numFmtId="43" fontId="34" fillId="0" borderId="57" xfId="1" applyFont="1" applyFill="1" applyBorder="1" applyAlignment="1">
      <alignment horizontal="center" vertical="center" wrapText="1"/>
    </xf>
    <xf numFmtId="43" fontId="34" fillId="0" borderId="58" xfId="1" applyFont="1" applyFill="1" applyBorder="1" applyAlignment="1">
      <alignment horizontal="center" vertical="center" wrapText="1"/>
    </xf>
    <xf numFmtId="43" fontId="34" fillId="0" borderId="32" xfId="1" applyFont="1" applyFill="1" applyBorder="1" applyAlignment="1">
      <alignment horizontal="center" vertical="center" wrapText="1"/>
    </xf>
    <xf numFmtId="43" fontId="32" fillId="0" borderId="15" xfId="1" applyFont="1" applyFill="1" applyBorder="1" applyAlignment="1">
      <alignment horizontal="center" vertical="center" wrapText="1"/>
    </xf>
    <xf numFmtId="43" fontId="32" fillId="0" borderId="19" xfId="1" applyFont="1" applyFill="1" applyBorder="1" applyAlignment="1">
      <alignment horizontal="center" vertical="center" wrapText="1"/>
    </xf>
    <xf numFmtId="43" fontId="32" fillId="0" borderId="22" xfId="1" applyFont="1" applyFill="1" applyBorder="1" applyAlignment="1">
      <alignment horizontal="center" vertical="center" wrapText="1"/>
    </xf>
    <xf numFmtId="0" fontId="33" fillId="10" borderId="15" xfId="0" applyFont="1" applyFill="1" applyBorder="1" applyAlignment="1">
      <alignment horizontal="center" vertical="center" wrapText="1"/>
    </xf>
    <xf numFmtId="0" fontId="33" fillId="10" borderId="19" xfId="0" applyFont="1" applyFill="1" applyBorder="1" applyAlignment="1">
      <alignment horizontal="center" vertical="center" wrapText="1"/>
    </xf>
    <xf numFmtId="0" fontId="33" fillId="10" borderId="22" xfId="0" applyFont="1" applyFill="1" applyBorder="1" applyAlignment="1">
      <alignment horizontal="center" vertical="center" wrapText="1"/>
    </xf>
    <xf numFmtId="0" fontId="33" fillId="0" borderId="27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11" borderId="57" xfId="0" applyFont="1" applyFill="1" applyBorder="1" applyAlignment="1">
      <alignment horizontal="center" vertical="center" wrapText="1"/>
    </xf>
    <xf numFmtId="0" fontId="33" fillId="11" borderId="58" xfId="0" applyFont="1" applyFill="1" applyBorder="1" applyAlignment="1">
      <alignment horizontal="center" vertical="center" wrapText="1"/>
    </xf>
    <xf numFmtId="0" fontId="33" fillId="11" borderId="32" xfId="0" applyFont="1" applyFill="1" applyBorder="1" applyAlignment="1">
      <alignment horizontal="center" vertical="center" wrapText="1"/>
    </xf>
    <xf numFmtId="0" fontId="34" fillId="0" borderId="57" xfId="0" applyFont="1" applyBorder="1" applyAlignment="1">
      <alignment horizontal="center" vertical="center" wrapText="1"/>
    </xf>
    <xf numFmtId="0" fontId="34" fillId="0" borderId="58" xfId="0" applyFont="1" applyBorder="1" applyAlignment="1">
      <alignment horizontal="center" vertical="center" wrapText="1"/>
    </xf>
    <xf numFmtId="0" fontId="34" fillId="0" borderId="32" xfId="0" applyFont="1" applyBorder="1" applyAlignment="1">
      <alignment horizontal="center" vertical="center" wrapText="1"/>
    </xf>
    <xf numFmtId="43" fontId="33" fillId="0" borderId="53" xfId="1" applyFont="1" applyFill="1" applyBorder="1" applyAlignment="1">
      <alignment horizontal="center" vertical="center" wrapText="1"/>
    </xf>
    <xf numFmtId="43" fontId="33" fillId="0" borderId="59" xfId="1" applyFont="1" applyFill="1" applyBorder="1" applyAlignment="1">
      <alignment horizontal="center" vertical="center" wrapText="1"/>
    </xf>
    <xf numFmtId="43" fontId="33" fillId="0" borderId="54" xfId="1" applyFont="1" applyFill="1" applyBorder="1" applyAlignment="1">
      <alignment horizontal="center" vertical="center" wrapText="1"/>
    </xf>
    <xf numFmtId="0" fontId="33" fillId="2" borderId="15" xfId="0" applyFont="1" applyFill="1" applyBorder="1" applyAlignment="1">
      <alignment horizontal="center" vertical="center" wrapText="1"/>
    </xf>
    <xf numFmtId="0" fontId="33" fillId="2" borderId="19" xfId="0" applyFont="1" applyFill="1" applyBorder="1" applyAlignment="1">
      <alignment horizontal="center" vertical="center" wrapText="1"/>
    </xf>
    <xf numFmtId="0" fontId="33" fillId="2" borderId="22" xfId="0" applyFont="1" applyFill="1" applyBorder="1" applyAlignment="1">
      <alignment horizontal="center" vertical="center" wrapText="1"/>
    </xf>
    <xf numFmtId="43" fontId="33" fillId="0" borderId="15" xfId="1" applyFont="1" applyFill="1" applyBorder="1" applyAlignment="1">
      <alignment horizontal="center" vertical="center" wrapText="1"/>
    </xf>
    <xf numFmtId="43" fontId="33" fillId="0" borderId="19" xfId="1" applyFont="1" applyFill="1" applyBorder="1" applyAlignment="1">
      <alignment horizontal="center" vertical="center" wrapText="1"/>
    </xf>
    <xf numFmtId="43" fontId="33" fillId="0" borderId="22" xfId="1" applyFont="1" applyFill="1" applyBorder="1" applyAlignment="1">
      <alignment horizontal="center" vertical="center" wrapText="1"/>
    </xf>
    <xf numFmtId="43" fontId="32" fillId="0" borderId="20" xfId="8" applyFont="1" applyBorder="1" applyAlignment="1">
      <alignment horizontal="center" vertical="center"/>
    </xf>
    <xf numFmtId="43" fontId="32" fillId="0" borderId="0" xfId="1" applyFont="1" applyBorder="1" applyAlignment="1">
      <alignment horizontal="center" vertical="center"/>
    </xf>
    <xf numFmtId="43" fontId="32" fillId="12" borderId="0" xfId="8" applyFont="1" applyFill="1" applyAlignment="1">
      <alignment horizontal="center"/>
    </xf>
    <xf numFmtId="43" fontId="32" fillId="0" borderId="0" xfId="8" applyFont="1" applyBorder="1" applyAlignment="1">
      <alignment horizontal="center" vertical="center"/>
    </xf>
    <xf numFmtId="43" fontId="32" fillId="0" borderId="0" xfId="1" applyFont="1" applyBorder="1" applyAlignment="1">
      <alignment horizontal="center" vertical="center" wrapText="1"/>
    </xf>
    <xf numFmtId="0" fontId="38" fillId="6" borderId="39" xfId="2" applyFont="1" applyFill="1" applyBorder="1" applyAlignment="1">
      <alignment horizontal="center" vertical="center" wrapText="1"/>
    </xf>
    <xf numFmtId="0" fontId="38" fillId="6" borderId="40" xfId="2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0" fillId="0" borderId="7" xfId="0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33" fillId="0" borderId="16" xfId="0" applyFont="1" applyBorder="1" applyAlignment="1">
      <alignment horizontal="center" vertical="center"/>
    </xf>
    <xf numFmtId="0" fontId="33" fillId="0" borderId="20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17" xfId="0" applyFont="1" applyBorder="1" applyAlignment="1">
      <alignment horizontal="right" vertical="center" wrapText="1"/>
    </xf>
    <xf numFmtId="0" fontId="33" fillId="0" borderId="21" xfId="0" applyFont="1" applyBorder="1" applyAlignment="1">
      <alignment horizontal="right" vertical="center" wrapText="1"/>
    </xf>
    <xf numFmtId="0" fontId="33" fillId="0" borderId="24" xfId="0" applyFont="1" applyBorder="1" applyAlignment="1">
      <alignment horizontal="right" vertical="center" wrapText="1"/>
    </xf>
    <xf numFmtId="0" fontId="33" fillId="0" borderId="18" xfId="0" applyFont="1" applyBorder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43" fontId="34" fillId="0" borderId="18" xfId="1" applyFont="1" applyFill="1" applyBorder="1" applyAlignment="1">
      <alignment horizontal="center" vertical="center" wrapText="1"/>
    </xf>
    <xf numFmtId="43" fontId="34" fillId="0" borderId="6" xfId="1" applyFont="1" applyFill="1" applyBorder="1" applyAlignment="1">
      <alignment horizontal="center" vertical="center" wrapText="1"/>
    </xf>
    <xf numFmtId="43" fontId="34" fillId="0" borderId="25" xfId="1" applyFont="1" applyFill="1" applyBorder="1" applyAlignment="1">
      <alignment vertical="center" wrapText="1"/>
    </xf>
    <xf numFmtId="0" fontId="33" fillId="0" borderId="18" xfId="0" applyFont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0" fontId="33" fillId="0" borderId="25" xfId="0" applyFont="1" applyBorder="1" applyAlignment="1">
      <alignment vertical="center" wrapText="1"/>
    </xf>
    <xf numFmtId="43" fontId="33" fillId="0" borderId="18" xfId="1" applyFont="1" applyFill="1" applyBorder="1" applyAlignment="1">
      <alignment horizontal="center" vertical="center" wrapText="1"/>
    </xf>
    <xf numFmtId="43" fontId="33" fillId="0" borderId="6" xfId="1" applyFont="1" applyFill="1" applyBorder="1" applyAlignment="1">
      <alignment horizontal="center" vertical="center" wrapText="1"/>
    </xf>
    <xf numFmtId="43" fontId="33" fillId="0" borderId="25" xfId="1" applyFont="1" applyFill="1" applyBorder="1" applyAlignment="1">
      <alignment horizontal="center" vertical="center" wrapText="1"/>
    </xf>
    <xf numFmtId="0" fontId="33" fillId="0" borderId="28" xfId="0" applyFont="1" applyBorder="1" applyAlignment="1">
      <alignment horizontal="center" vertical="center" wrapText="1"/>
    </xf>
    <xf numFmtId="0" fontId="33" fillId="0" borderId="30" xfId="0" applyFont="1" applyBorder="1" applyAlignment="1">
      <alignment horizontal="center" vertical="center" wrapText="1"/>
    </xf>
    <xf numFmtId="43" fontId="9" fillId="0" borderId="15" xfId="1" applyFont="1" applyFill="1" applyBorder="1" applyAlignment="1">
      <alignment horizontal="center" vertical="center" wrapText="1"/>
    </xf>
    <xf numFmtId="43" fontId="9" fillId="0" borderId="22" xfId="1" applyFont="1" applyFill="1" applyBorder="1" applyAlignment="1">
      <alignment horizontal="center" vertical="center" wrapText="1"/>
    </xf>
    <xf numFmtId="0" fontId="33" fillId="0" borderId="29" xfId="0" applyFont="1" applyBorder="1" applyAlignment="1">
      <alignment horizontal="center" vertical="center" wrapText="1"/>
    </xf>
    <xf numFmtId="0" fontId="33" fillId="0" borderId="16" xfId="0" applyFont="1" applyBorder="1" applyAlignment="1">
      <alignment horizontal="center" vertical="center" wrapText="1"/>
    </xf>
    <xf numFmtId="0" fontId="33" fillId="0" borderId="23" xfId="0" applyFont="1" applyBorder="1" applyAlignment="1">
      <alignment horizontal="center" vertical="center" wrapText="1"/>
    </xf>
    <xf numFmtId="0" fontId="33" fillId="0" borderId="17" xfId="0" applyFont="1" applyBorder="1" applyAlignment="1">
      <alignment horizontal="center" vertical="center" wrapText="1"/>
    </xf>
    <xf numFmtId="0" fontId="33" fillId="0" borderId="21" xfId="0" applyFont="1" applyBorder="1" applyAlignment="1">
      <alignment horizontal="center" vertical="center" wrapText="1"/>
    </xf>
    <xf numFmtId="0" fontId="33" fillId="0" borderId="24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left"/>
    </xf>
    <xf numFmtId="15" fontId="28" fillId="0" borderId="0" xfId="0" applyNumberFormat="1" applyFont="1" applyAlignment="1">
      <alignment horizontal="left"/>
    </xf>
    <xf numFmtId="0" fontId="34" fillId="0" borderId="18" xfId="0" applyFont="1" applyBorder="1" applyAlignment="1">
      <alignment horizontal="center" vertical="center" wrapText="1"/>
    </xf>
    <xf numFmtId="0" fontId="34" fillId="0" borderId="6" xfId="0" applyFont="1" applyBorder="1" applyAlignment="1">
      <alignment horizontal="center" vertical="center" wrapText="1"/>
    </xf>
    <xf numFmtId="0" fontId="34" fillId="0" borderId="25" xfId="0" applyFont="1" applyBorder="1" applyAlignment="1">
      <alignment vertical="center" wrapText="1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3" borderId="0" xfId="0" applyFont="1" applyFill="1" applyAlignment="1">
      <alignment horizontal="center"/>
    </xf>
    <xf numFmtId="0" fontId="41" fillId="0" borderId="4" xfId="0" applyFont="1" applyBorder="1" applyAlignment="1">
      <alignment horizontal="center" vertical="center" wrapText="1"/>
    </xf>
    <xf numFmtId="0" fontId="41" fillId="0" borderId="44" xfId="0" applyFont="1" applyBorder="1" applyAlignment="1">
      <alignment horizontal="center" vertical="center" wrapText="1"/>
    </xf>
    <xf numFmtId="0" fontId="44" fillId="0" borderId="6" xfId="0" applyFont="1" applyBorder="1" applyAlignment="1">
      <alignment horizontal="center"/>
    </xf>
    <xf numFmtId="4" fontId="21" fillId="4" borderId="6" xfId="0" applyNumberFormat="1" applyFont="1" applyFill="1" applyBorder="1" applyAlignment="1">
      <alignment horizontal="center"/>
    </xf>
    <xf numFmtId="0" fontId="21" fillId="4" borderId="6" xfId="0" applyFont="1" applyFill="1" applyBorder="1" applyAlignment="1">
      <alignment horizontal="center"/>
    </xf>
    <xf numFmtId="0" fontId="41" fillId="0" borderId="45" xfId="0" applyFont="1" applyBorder="1" applyAlignment="1">
      <alignment horizontal="center" wrapText="1"/>
    </xf>
    <xf numFmtId="0" fontId="41" fillId="0" borderId="5" xfId="0" applyFont="1" applyBorder="1" applyAlignment="1">
      <alignment horizontal="center" wrapText="1"/>
    </xf>
    <xf numFmtId="0" fontId="41" fillId="0" borderId="12" xfId="0" applyFont="1" applyBorder="1" applyAlignment="1">
      <alignment horizontal="center" wrapText="1"/>
    </xf>
    <xf numFmtId="0" fontId="44" fillId="0" borderId="4" xfId="9" applyFont="1" applyBorder="1" applyAlignment="1">
      <alignment horizontal="center"/>
    </xf>
    <xf numFmtId="0" fontId="44" fillId="0" borderId="5" xfId="9" applyFont="1" applyBorder="1" applyAlignment="1">
      <alignment horizontal="center"/>
    </xf>
    <xf numFmtId="4" fontId="21" fillId="4" borderId="4" xfId="9" applyNumberFormat="1" applyFont="1" applyFill="1" applyBorder="1" applyAlignment="1">
      <alignment horizontal="center"/>
    </xf>
    <xf numFmtId="4" fontId="21" fillId="4" borderId="5" xfId="9" applyNumberFormat="1" applyFont="1" applyFill="1" applyBorder="1" applyAlignment="1">
      <alignment horizontal="center"/>
    </xf>
    <xf numFmtId="0" fontId="41" fillId="0" borderId="45" xfId="9" applyFont="1" applyBorder="1" applyAlignment="1">
      <alignment horizontal="center" wrapText="1"/>
    </xf>
    <xf numFmtId="0" fontId="41" fillId="0" borderId="5" xfId="9" applyFont="1" applyBorder="1" applyAlignment="1">
      <alignment horizontal="center" wrapText="1"/>
    </xf>
    <xf numFmtId="0" fontId="41" fillId="0" borderId="4" xfId="9" applyFont="1" applyBorder="1" applyAlignment="1">
      <alignment horizontal="center" vertical="center" wrapText="1"/>
    </xf>
    <xf numFmtId="0" fontId="41" fillId="0" borderId="44" xfId="9" applyFont="1" applyBorder="1" applyAlignment="1">
      <alignment horizontal="center" vertical="center" wrapText="1"/>
    </xf>
    <xf numFmtId="0" fontId="41" fillId="0" borderId="12" xfId="9" applyFont="1" applyBorder="1" applyAlignment="1">
      <alignment horizontal="center" wrapText="1"/>
    </xf>
    <xf numFmtId="0" fontId="44" fillId="0" borderId="6" xfId="9" applyFont="1" applyBorder="1" applyAlignment="1">
      <alignment horizontal="center"/>
    </xf>
    <xf numFmtId="4" fontId="21" fillId="4" borderId="6" xfId="9" applyNumberFormat="1" applyFont="1" applyFill="1" applyBorder="1" applyAlignment="1">
      <alignment horizontal="center"/>
    </xf>
    <xf numFmtId="0" fontId="21" fillId="4" borderId="6" xfId="9" applyFont="1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175" fontId="0" fillId="0" borderId="0" xfId="0" applyNumberFormat="1" applyAlignment="1">
      <alignment horizontal="center"/>
    </xf>
    <xf numFmtId="0" fontId="22" fillId="0" borderId="6" xfId="0" applyFont="1" applyBorder="1" applyAlignment="1">
      <alignment horizontal="left"/>
    </xf>
    <xf numFmtId="0" fontId="17" fillId="9" borderId="4" xfId="0" applyFont="1" applyFill="1" applyBorder="1" applyAlignment="1">
      <alignment horizontal="left"/>
    </xf>
    <xf numFmtId="0" fontId="17" fillId="9" borderId="5" xfId="0" applyFont="1" applyFill="1" applyBorder="1" applyAlignment="1">
      <alignment horizontal="left"/>
    </xf>
    <xf numFmtId="0" fontId="17" fillId="0" borderId="11" xfId="0" applyFont="1" applyBorder="1" applyAlignment="1">
      <alignment horizontal="left"/>
    </xf>
    <xf numFmtId="0" fontId="17" fillId="0" borderId="12" xfId="0" applyFont="1" applyBorder="1" applyAlignment="1">
      <alignment horizontal="left"/>
    </xf>
    <xf numFmtId="0" fontId="17" fillId="0" borderId="4" xfId="0" applyFont="1" applyBorder="1" applyAlignment="1">
      <alignment horizontal="left"/>
    </xf>
    <xf numFmtId="0" fontId="17" fillId="0" borderId="5" xfId="0" applyFont="1" applyBorder="1" applyAlignment="1">
      <alignment horizontal="left"/>
    </xf>
    <xf numFmtId="0" fontId="14" fillId="0" borderId="0" xfId="0" applyFont="1" applyAlignment="1">
      <alignment horizontal="left"/>
    </xf>
    <xf numFmtId="15" fontId="14" fillId="0" borderId="0" xfId="0" applyNumberFormat="1" applyFont="1" applyAlignment="1">
      <alignment horizontal="left"/>
    </xf>
    <xf numFmtId="43" fontId="24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0" fontId="13" fillId="0" borderId="0" xfId="0" applyFont="1" applyAlignment="1">
      <alignment horizontal="right" vertical="center"/>
    </xf>
    <xf numFmtId="0" fontId="22" fillId="0" borderId="11" xfId="0" applyFont="1" applyBorder="1" applyAlignment="1">
      <alignment horizontal="left"/>
    </xf>
    <xf numFmtId="0" fontId="22" fillId="0" borderId="12" xfId="0" applyFont="1" applyBorder="1" applyAlignment="1">
      <alignment horizontal="left"/>
    </xf>
    <xf numFmtId="0" fontId="17" fillId="0" borderId="0" xfId="0" applyFont="1" applyAlignment="1">
      <alignment horizontal="right"/>
    </xf>
    <xf numFmtId="0" fontId="22" fillId="9" borderId="6" xfId="0" applyFont="1" applyFill="1" applyBorder="1" applyAlignment="1">
      <alignment horizontal="left"/>
    </xf>
    <xf numFmtId="0" fontId="22" fillId="9" borderId="11" xfId="0" applyFont="1" applyFill="1" applyBorder="1" applyAlignment="1">
      <alignment horizontal="left"/>
    </xf>
    <xf numFmtId="0" fontId="22" fillId="9" borderId="12" xfId="0" applyFont="1" applyFill="1" applyBorder="1" applyAlignment="1">
      <alignment horizontal="left"/>
    </xf>
    <xf numFmtId="15" fontId="14" fillId="0" borderId="0" xfId="0" applyNumberFormat="1" applyFont="1" applyAlignment="1">
      <alignment horizontal="center"/>
    </xf>
  </cellXfs>
  <cellStyles count="11">
    <cellStyle name="Comma" xfId="1" builtinId="3"/>
    <cellStyle name="Comma 2" xfId="4" xr:uid="{00000000-0005-0000-0000-000001000000}"/>
    <cellStyle name="Comma 2 2" xfId="6" xr:uid="{00000000-0005-0000-0000-000002000000}"/>
    <cellStyle name="Comma 2 3" xfId="10" xr:uid="{00000000-0005-0000-0000-000003000000}"/>
    <cellStyle name="Comma 3" xfId="8" xr:uid="{00000000-0005-0000-0000-000004000000}"/>
    <cellStyle name="Hyperlink" xfId="2" builtinId="8"/>
    <cellStyle name="Normal" xfId="0" builtinId="0"/>
    <cellStyle name="Normal 2" xfId="3" xr:uid="{00000000-0005-0000-0000-000007000000}"/>
    <cellStyle name="Normal 2 2" xfId="5" xr:uid="{00000000-0005-0000-0000-000008000000}"/>
    <cellStyle name="Normal 3" xfId="7" xr:uid="{00000000-0005-0000-0000-000009000000}"/>
    <cellStyle name="Normal 4" xfId="9" xr:uid="{00000000-0005-0000-0000-00000A000000}"/>
  </cellStyles>
  <dxfs count="293"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  <dxf>
      <fill>
        <patternFill patternType="solid">
          <bgColor rgb="FFFFC5C5"/>
        </patternFill>
      </fill>
    </dxf>
  </dxfs>
  <tableStyles count="0" defaultTableStyle="TableStyleMedium2" defaultPivotStyle="PivotStyleLight16"/>
  <colors>
    <mruColors>
      <color rgb="FFFFC5C5"/>
      <color rgb="FFF7C1C9"/>
      <color rgb="FFFFFFFF"/>
      <color rgb="FF113B08"/>
      <color rgb="FFF3A7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ctrlProps/ctrlProp1.xml><?xml version="1.0" encoding="utf-8"?>
<formControlPr xmlns="http://schemas.microsoft.com/office/spreadsheetml/2009/9/main" objectType="CheckBox" checked="Checked" fmlaLink="Data!$F$2" noThreeD="1"/>
</file>

<file path=xl/ctrlProps/ctrlProp2.xml><?xml version="1.0" encoding="utf-8"?>
<formControlPr xmlns="http://schemas.microsoft.com/office/spreadsheetml/2009/9/main" objectType="CheckBox" checked="Checked" fmlaLink="Data!$F$2" noThreeD="1"/>
</file>

<file path=xl/ctrlProps/ctrlProp3.xml><?xml version="1.0" encoding="utf-8"?>
<formControlPr xmlns="http://schemas.microsoft.com/office/spreadsheetml/2009/9/main" objectType="CheckBox" checked="Checked" fmlaLink="Data!$F$2" noThreeD="1"/>
</file>

<file path=xl/ctrlProps/ctrlProp4.xml><?xml version="1.0" encoding="utf-8"?>
<formControlPr xmlns="http://schemas.microsoft.com/office/spreadsheetml/2009/9/main" objectType="CheckBox" checked="Checked" fmlaLink="Data!$F$2" noThreeD="1"/>
</file>

<file path=xl/ctrlProps/ctrlProp5.xml><?xml version="1.0" encoding="utf-8"?>
<formControlPr xmlns="http://schemas.microsoft.com/office/spreadsheetml/2009/9/main" objectType="CheckBox" checked="Checked" fmlaLink="Data!$F$2" noThreeD="1"/>
</file>

<file path=xl/ctrlProps/ctrlProp6.xml><?xml version="1.0" encoding="utf-8"?>
<formControlPr xmlns="http://schemas.microsoft.com/office/spreadsheetml/2009/9/main" objectType="CheckBox" checked="Checked" fmlaLink="Data!$F$2" noThreeD="1"/>
</file>

<file path=xl/ctrlProps/ctrlProp7.xml><?xml version="1.0" encoding="utf-8"?>
<formControlPr xmlns="http://schemas.microsoft.com/office/spreadsheetml/2009/9/main" objectType="CheckBox" checked="Checked" fmlaLink="Data!$F$2" noThreeD="1"/>
</file>

<file path=xl/ctrlProps/ctrlProp8.xml><?xml version="1.0" encoding="utf-8"?>
<formControlPr xmlns="http://schemas.microsoft.com/office/spreadsheetml/2009/9/main" objectType="CheckBox" checked="Checked" fmlaLink="Data!$F$2" noThreeD="1"/>
</file>

<file path=xl/ctrlProps/ctrlProp9.xml><?xml version="1.0" encoding="utf-8"?>
<formControlPr xmlns="http://schemas.microsoft.com/office/spreadsheetml/2009/9/main" objectType="CheckBox" checked="Checked" fmlaLink="Data!$F$2" noThreeD="1"/>
</file>

<file path=xl/ctrlProps/ctrlProp10.xml><?xml version="1.0" encoding="utf-8"?>
<formControlPr xmlns="http://schemas.microsoft.com/office/spreadsheetml/2009/9/main" objectType="CheckBox" checked="Checked" fmlaLink="Data!$F$2" noThreeD="1"/>
</file>

<file path=xl/ctrlProps/ctrlProp11.xml><?xml version="1.0" encoding="utf-8"?>
<formControlPr xmlns="http://schemas.microsoft.com/office/spreadsheetml/2009/9/main" objectType="CheckBox" checked="Checked" fmlaLink="Data!$F$2" noThreeD="1"/>
</file>

<file path=xl/ctrlProps/ctrlProp12.xml><?xml version="1.0" encoding="utf-8"?>
<formControlPr xmlns="http://schemas.microsoft.com/office/spreadsheetml/2009/9/main" objectType="CheckBox" checked="Checked" fmlaLink="Data!$F$2" noThreeD="1"/>
</file>

<file path=xl/ctrlProps/ctrlProp13.xml><?xml version="1.0" encoding="utf-8"?>
<formControlPr xmlns="http://schemas.microsoft.com/office/spreadsheetml/2009/9/main" objectType="CheckBox" checked="Checked" fmlaLink="Data!$F$2" noThreeD="1"/>
</file>

<file path=xl/ctrlProps/ctrlProp14.xml><?xml version="1.0" encoding="utf-8"?>
<formControlPr xmlns="http://schemas.microsoft.com/office/spreadsheetml/2009/9/main" objectType="CheckBox" checked="Checked" fmlaLink="Data!$F$2" noThreeD="1"/>
</file>

<file path=xl/ctrlProps/ctrlProp15.xml><?xml version="1.0" encoding="utf-8"?>
<formControlPr xmlns="http://schemas.microsoft.com/office/spreadsheetml/2009/9/main" objectType="CheckBox" checked="Checked" fmlaLink="Data!$F$2" noThreeD="1"/>
</file>

<file path=xl/ctrlProps/ctrlProp16.xml><?xml version="1.0" encoding="utf-8"?>
<formControlPr xmlns="http://schemas.microsoft.com/office/spreadsheetml/2009/9/main" objectType="CheckBox" checked="Checked" fmlaLink="Data!$F$2" noThreeD="1"/>
</file>

<file path=xl/ctrlProps/ctrlProp17.xml><?xml version="1.0" encoding="utf-8"?>
<formControlPr xmlns="http://schemas.microsoft.com/office/spreadsheetml/2009/9/main" objectType="CheckBox" checked="Checked" fmlaLink="Data!$F$2" noThreeD="1"/>
</file>

<file path=xl/ctrlProps/ctrlProp18.xml><?xml version="1.0" encoding="utf-8"?>
<formControlPr xmlns="http://schemas.microsoft.com/office/spreadsheetml/2009/9/main" objectType="CheckBox" checked="Checked" fmlaLink="Data!$F$2" noThreeD="1"/>
</file>

<file path=xl/ctrlProps/ctrlProp19.xml><?xml version="1.0" encoding="utf-8"?>
<formControlPr xmlns="http://schemas.microsoft.com/office/spreadsheetml/2009/9/main" objectType="CheckBox" checked="Checked" fmlaLink="Data!$F$2" noThreeD="1"/>
</file>

<file path=xl/ctrlProps/ctrlProp20.xml><?xml version="1.0" encoding="utf-8"?>
<formControlPr xmlns="http://schemas.microsoft.com/office/spreadsheetml/2009/9/main" objectType="CheckBox" checked="Checked" fmlaLink="Data!$F$2" noThreeD="1"/>
</file>

<file path=xl/ctrlProps/ctrlProp21.xml><?xml version="1.0" encoding="utf-8"?>
<formControlPr xmlns="http://schemas.microsoft.com/office/spreadsheetml/2009/9/main" objectType="CheckBox" checked="Checked" fmlaLink="Data!$F$2" noThreeD="1"/>
</file>

<file path=xl/ctrlProps/ctrlProp22.xml><?xml version="1.0" encoding="utf-8"?>
<formControlPr xmlns="http://schemas.microsoft.com/office/spreadsheetml/2009/9/main" objectType="CheckBox" checked="Checked" fmlaLink="Data!$F$2" noThreeD="1"/>
</file>

<file path=xl/ctrlProps/ctrlProp23.xml><?xml version="1.0" encoding="utf-8"?>
<formControlPr xmlns="http://schemas.microsoft.com/office/spreadsheetml/2009/9/main" objectType="CheckBox" checked="Checked" fmlaLink="Data!$F$2" noThreeD="1"/>
</file>

<file path=xl/ctrlProps/ctrlProp24.xml><?xml version="1.0" encoding="utf-8"?>
<formControlPr xmlns="http://schemas.microsoft.com/office/spreadsheetml/2009/9/main" objectType="CheckBox" checked="Checked" fmlaLink="Data!$F$2" noThreeD="1"/>
</file>

<file path=xl/ctrlProps/ctrlProp25.xml><?xml version="1.0" encoding="utf-8"?>
<formControlPr xmlns="http://schemas.microsoft.com/office/spreadsheetml/2009/9/main" objectType="CheckBox" checked="Checked" fmlaLink="Data!$F$2" noThreeD="1"/>
</file>

<file path=xl/ctrlProps/ctrlProp26.xml><?xml version="1.0" encoding="utf-8"?>
<formControlPr xmlns="http://schemas.microsoft.com/office/spreadsheetml/2009/9/main" objectType="CheckBox" checked="Checked" fmlaLink="Data!$F$2" noThreeD="1"/>
</file>

<file path=xl/ctrlProps/ctrlProp27.xml><?xml version="1.0" encoding="utf-8"?>
<formControlPr xmlns="http://schemas.microsoft.com/office/spreadsheetml/2009/9/main" objectType="CheckBox" checked="Checked" fmlaLink="Data!$F$2" noThreeD="1"/>
</file>

<file path=xl/ctrlProps/ctrlProp28.xml><?xml version="1.0" encoding="utf-8"?>
<formControlPr xmlns="http://schemas.microsoft.com/office/spreadsheetml/2009/9/main" objectType="CheckBox" checked="Checked" fmlaLink="Data!$F$2" noThreeD="1"/>
</file>

<file path=xl/ctrlProps/ctrlProp29.xml><?xml version="1.0" encoding="utf-8"?>
<formControlPr xmlns="http://schemas.microsoft.com/office/spreadsheetml/2009/9/main" objectType="CheckBox" checked="Checked" fmlaLink="Data!$F$2" noThreeD="1"/>
</file>

<file path=xl/ctrlProps/ctrlProp30.xml><?xml version="1.0" encoding="utf-8"?>
<formControlPr xmlns="http://schemas.microsoft.com/office/spreadsheetml/2009/9/main" objectType="CheckBox" checked="Checked" fmlaLink="Data!$F$2" noThreeD="1"/>
</file>

<file path=xl/ctrlProps/ctrlProp31.xml><?xml version="1.0" encoding="utf-8"?>
<formControlPr xmlns="http://schemas.microsoft.com/office/spreadsheetml/2009/9/main" objectType="CheckBox" checked="Checked" fmlaLink="Data!$F$2" noThreeD="1"/>
</file>

<file path=xl/ctrlProps/ctrlProp32.xml><?xml version="1.0" encoding="utf-8"?>
<formControlPr xmlns="http://schemas.microsoft.com/office/spreadsheetml/2009/9/main" objectType="CheckBox" checked="Checked" fmlaLink="Data!$F$2" noThreeD="1"/>
</file>

<file path=xl/ctrlProps/ctrlProp33.xml><?xml version="1.0" encoding="utf-8"?>
<formControlPr xmlns="http://schemas.microsoft.com/office/spreadsheetml/2009/9/main" objectType="CheckBox" checked="Checked" fmlaLink="Data!$F$2" noThreeD="1"/>
</file>

<file path=xl/ctrlProps/ctrlProp34.xml><?xml version="1.0" encoding="utf-8"?>
<formControlPr xmlns="http://schemas.microsoft.com/office/spreadsheetml/2009/9/main" objectType="CheckBox" checked="Checked" fmlaLink="Data!$F$2" noThreeD="1"/>
</file>

<file path=xl/ctrlProps/ctrlProp35.xml><?xml version="1.0" encoding="utf-8"?>
<formControlPr xmlns="http://schemas.microsoft.com/office/spreadsheetml/2009/9/main" objectType="CheckBox" checked="Checked" fmlaLink="Data!$F$2" noThreeD="1"/>
</file>

<file path=xl/ctrlProps/ctrlProp36.xml><?xml version="1.0" encoding="utf-8"?>
<formControlPr xmlns="http://schemas.microsoft.com/office/spreadsheetml/2009/9/main" objectType="CheckBox" checked="Checked" fmlaLink="Data!$F$2" noThreeD="1"/>
</file>

<file path=xl/ctrlProps/ctrlProp37.xml><?xml version="1.0" encoding="utf-8"?>
<formControlPr xmlns="http://schemas.microsoft.com/office/spreadsheetml/2009/9/main" objectType="CheckBox" checked="Checked" fmlaLink="Data!$F$2" noThreeD="1"/>
</file>

<file path=xl/ctrlProps/ctrlProp38.xml><?xml version="1.0" encoding="utf-8"?>
<formControlPr xmlns="http://schemas.microsoft.com/office/spreadsheetml/2009/9/main" objectType="CheckBox" checked="Checked" fmlaLink="Data!$F$2" noThreeD="1"/>
</file>

<file path=xl/ctrlProps/ctrlProp39.xml><?xml version="1.0" encoding="utf-8"?>
<formControlPr xmlns="http://schemas.microsoft.com/office/spreadsheetml/2009/9/main" objectType="CheckBox" checked="Checked" fmlaLink="Data!$F$2" noThreeD="1"/>
</file>

<file path=xl/ctrlProps/ctrlProp40.xml><?xml version="1.0" encoding="utf-8"?>
<formControlPr xmlns="http://schemas.microsoft.com/office/spreadsheetml/2009/9/main" objectType="CheckBox" checked="Checked" fmlaLink="Data!$F$2" noThreeD="1"/>
</file>

<file path=xl/ctrlProps/ctrlProp41.xml><?xml version="1.0" encoding="utf-8"?>
<formControlPr xmlns="http://schemas.microsoft.com/office/spreadsheetml/2009/9/main" objectType="CheckBox" checked="Checked" fmlaLink="Data!$F$2" noThreeD="1"/>
</file>

<file path=xl/ctrlProps/ctrlProp42.xml><?xml version="1.0" encoding="utf-8"?>
<formControlPr xmlns="http://schemas.microsoft.com/office/spreadsheetml/2009/9/main" objectType="CheckBox" checked="Checked" fmlaLink="Data!$F$2" noThreeD="1"/>
</file>

<file path=xl/ctrlProps/ctrlProp43.xml><?xml version="1.0" encoding="utf-8"?>
<formControlPr xmlns="http://schemas.microsoft.com/office/spreadsheetml/2009/9/main" objectType="CheckBox" checked="Checked" fmlaLink="Data!$F$2" noThreeD="1"/>
</file>

<file path=xl/ctrlProps/ctrlProp44.xml><?xml version="1.0" encoding="utf-8"?>
<formControlPr xmlns="http://schemas.microsoft.com/office/spreadsheetml/2009/9/main" objectType="CheckBox" checked="Checked" fmlaLink="Data!$F$2" noThreeD="1"/>
</file>

<file path=xl/ctrlProps/ctrlProp45.xml><?xml version="1.0" encoding="utf-8"?>
<formControlPr xmlns="http://schemas.microsoft.com/office/spreadsheetml/2009/9/main" objectType="CheckBox" checked="Checked" fmlaLink="Data!$F$2" noThreeD="1"/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7</xdr:row>
          <xdr:rowOff>28575</xdr:rowOff>
        </xdr:from>
        <xdr:to>
          <xdr:col>7</xdr:col>
          <xdr:colOff>447675</xdr:colOff>
          <xdr:row>9</xdr:row>
          <xdr:rowOff>66675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7</xdr:row>
          <xdr:rowOff>28575</xdr:rowOff>
        </xdr:from>
        <xdr:to>
          <xdr:col>7</xdr:col>
          <xdr:colOff>447675</xdr:colOff>
          <xdr:row>9</xdr:row>
          <xdr:rowOff>66675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476250</xdr:colOff>
      <xdr:row>64</xdr:row>
      <xdr:rowOff>128270</xdr:rowOff>
    </xdr:from>
    <xdr:ext cx="857250" cy="65381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accent3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10681970"/>
          <a:ext cx="857250" cy="653415"/>
        </a:xfrm>
        <a:prstGeom prst="rect">
          <a:avLst/>
        </a:prstGeom>
      </xdr:spPr>
    </xdr:pic>
    <xdr:clientData/>
  </xdr:oneCellAnchor>
  <xdr:twoCellAnchor editAs="oneCell">
    <xdr:from>
      <xdr:col>0</xdr:col>
      <xdr:colOff>187960</xdr:colOff>
      <xdr:row>64</xdr:row>
      <xdr:rowOff>137160</xdr:rowOff>
    </xdr:from>
    <xdr:to>
      <xdr:col>1</xdr:col>
      <xdr:colOff>715010</xdr:colOff>
      <xdr:row>67</xdr:row>
      <xdr:rowOff>104140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960" y="10690860"/>
          <a:ext cx="765175" cy="4241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476250</xdr:colOff>
      <xdr:row>67</xdr:row>
      <xdr:rowOff>128270</xdr:rowOff>
    </xdr:from>
    <xdr:ext cx="857250" cy="65381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accent3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11139170"/>
          <a:ext cx="857250" cy="653415"/>
        </a:xfrm>
        <a:prstGeom prst="rect">
          <a:avLst/>
        </a:prstGeom>
      </xdr:spPr>
    </xdr:pic>
    <xdr:clientData/>
  </xdr:oneCellAnchor>
  <xdr:twoCellAnchor editAs="oneCell">
    <xdr:from>
      <xdr:col>0</xdr:col>
      <xdr:colOff>187960</xdr:colOff>
      <xdr:row>67</xdr:row>
      <xdr:rowOff>147320</xdr:rowOff>
    </xdr:from>
    <xdr:to>
      <xdr:col>1</xdr:col>
      <xdr:colOff>715010</xdr:colOff>
      <xdr:row>70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960" y="11158220"/>
          <a:ext cx="765175" cy="4241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476250</xdr:colOff>
      <xdr:row>67</xdr:row>
      <xdr:rowOff>128270</xdr:rowOff>
    </xdr:from>
    <xdr:ext cx="857250" cy="65381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accent3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0" y="11139170"/>
          <a:ext cx="857250" cy="653415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67</xdr:row>
      <xdr:rowOff>137160</xdr:rowOff>
    </xdr:from>
    <xdr:to>
      <xdr:col>0</xdr:col>
      <xdr:colOff>788035</xdr:colOff>
      <xdr:row>70</xdr:row>
      <xdr:rowOff>104140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148060"/>
          <a:ext cx="788035" cy="4241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483870</xdr:colOff>
      <xdr:row>0</xdr:row>
      <xdr:rowOff>43815</xdr:rowOff>
    </xdr:from>
    <xdr:to>
      <xdr:col>4</xdr:col>
      <xdr:colOff>945515</xdr:colOff>
      <xdr:row>4</xdr:row>
      <xdr:rowOff>110490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60095" y="43815"/>
          <a:ext cx="546227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1384935</xdr:colOff>
      <xdr:row>1</xdr:row>
      <xdr:rowOff>142875</xdr:rowOff>
    </xdr:from>
    <xdr:ext cx="1590675" cy="48706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4813935" y="333375"/>
          <a:ext cx="1590675" cy="4870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400" b="1">
              <a:solidFill>
                <a:schemeClr val="accent6">
                  <a:lumMod val="50000"/>
                </a:schemeClr>
              </a:solidFill>
            </a:rPr>
            <a:t>PAY SLIP</a:t>
          </a:r>
        </a:p>
      </xdr:txBody>
    </xdr:sp>
    <xdr:clientData/>
  </xdr:oneCellAnchor>
  <xdr:oneCellAnchor>
    <xdr:from>
      <xdr:col>5</xdr:col>
      <xdr:colOff>93345</xdr:colOff>
      <xdr:row>0</xdr:row>
      <xdr:rowOff>10160</xdr:rowOff>
    </xdr:from>
    <xdr:ext cx="5295900" cy="829168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151370" y="10160"/>
          <a:ext cx="52959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</xdr:col>
      <xdr:colOff>289560</xdr:colOff>
      <xdr:row>53</xdr:row>
      <xdr:rowOff>184150</xdr:rowOff>
    </xdr:from>
    <xdr:to>
      <xdr:col>2</xdr:col>
      <xdr:colOff>1336040</xdr:colOff>
      <xdr:row>56</xdr:row>
      <xdr:rowOff>33655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6910" y="10318750"/>
          <a:ext cx="1046480" cy="447675"/>
        </a:xfrm>
        <a:prstGeom prst="rect">
          <a:avLst/>
        </a:prstGeom>
      </xdr:spPr>
    </xdr:pic>
    <xdr:clientData/>
  </xdr:twoCellAnchor>
  <xdr:twoCellAnchor editAs="oneCell">
    <xdr:from>
      <xdr:col>2</xdr:col>
      <xdr:colOff>137583</xdr:colOff>
      <xdr:row>24</xdr:row>
      <xdr:rowOff>179917</xdr:rowOff>
    </xdr:from>
    <xdr:to>
      <xdr:col>2</xdr:col>
      <xdr:colOff>1184698</xdr:colOff>
      <xdr:row>27</xdr:row>
      <xdr:rowOff>54822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4510" y="4808855"/>
          <a:ext cx="1047115" cy="446405"/>
        </a:xfrm>
        <a:prstGeom prst="rect">
          <a:avLst/>
        </a:prstGeom>
      </xdr:spPr>
    </xdr:pic>
    <xdr:clientData/>
  </xdr:twoCellAnchor>
  <xdr:twoCellAnchor editAs="oneCell">
    <xdr:from>
      <xdr:col>7</xdr:col>
      <xdr:colOff>137584</xdr:colOff>
      <xdr:row>24</xdr:row>
      <xdr:rowOff>169333</xdr:rowOff>
    </xdr:from>
    <xdr:to>
      <xdr:col>7</xdr:col>
      <xdr:colOff>1184699</xdr:colOff>
      <xdr:row>27</xdr:row>
      <xdr:rowOff>44238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85860" y="4798060"/>
          <a:ext cx="1047115" cy="446405"/>
        </a:xfrm>
        <a:prstGeom prst="rect">
          <a:avLst/>
        </a:prstGeom>
      </xdr:spPr>
    </xdr:pic>
    <xdr:clientData/>
  </xdr:twoCellAnchor>
  <xdr:twoCellAnchor editAs="oneCell">
    <xdr:from>
      <xdr:col>1</xdr:col>
      <xdr:colOff>116417</xdr:colOff>
      <xdr:row>53</xdr:row>
      <xdr:rowOff>158750</xdr:rowOff>
    </xdr:from>
    <xdr:to>
      <xdr:col>1</xdr:col>
      <xdr:colOff>753322</xdr:colOff>
      <xdr:row>55</xdr:row>
      <xdr:rowOff>117475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430" y="10293350"/>
          <a:ext cx="636905" cy="366395"/>
        </a:xfrm>
        <a:prstGeom prst="rect">
          <a:avLst/>
        </a:prstGeom>
      </xdr:spPr>
    </xdr:pic>
    <xdr:clientData/>
  </xdr:twoCellAnchor>
  <xdr:twoCellAnchor editAs="oneCell">
    <xdr:from>
      <xdr:col>6</xdr:col>
      <xdr:colOff>84667</xdr:colOff>
      <xdr:row>24</xdr:row>
      <xdr:rowOff>158750</xdr:rowOff>
    </xdr:from>
    <xdr:to>
      <xdr:col>6</xdr:col>
      <xdr:colOff>721572</xdr:colOff>
      <xdr:row>26</xdr:row>
      <xdr:rowOff>142875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71080" y="4787900"/>
          <a:ext cx="636905" cy="365125"/>
        </a:xfrm>
        <a:prstGeom prst="rect">
          <a:avLst/>
        </a:prstGeom>
      </xdr:spPr>
    </xdr:pic>
    <xdr:clientData/>
  </xdr:twoCellAnchor>
  <xdr:twoCellAnchor editAs="oneCell">
    <xdr:from>
      <xdr:col>1</xdr:col>
      <xdr:colOff>635</xdr:colOff>
      <xdr:row>24</xdr:row>
      <xdr:rowOff>136525</xdr:rowOff>
    </xdr:from>
    <xdr:to>
      <xdr:col>1</xdr:col>
      <xdr:colOff>637540</xdr:colOff>
      <xdr:row>26</xdr:row>
      <xdr:rowOff>120650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860" y="4765675"/>
          <a:ext cx="636905" cy="365125"/>
        </a:xfrm>
        <a:prstGeom prst="rect">
          <a:avLst/>
        </a:prstGeom>
      </xdr:spPr>
    </xdr:pic>
    <xdr:clientData/>
  </xdr:twoCellAnchor>
  <xdr:oneCellAnchor>
    <xdr:from>
      <xdr:col>2</xdr:col>
      <xdr:colOff>61383</xdr:colOff>
      <xdr:row>131</xdr:row>
      <xdr:rowOff>156633</xdr:rowOff>
    </xdr:from>
    <xdr:ext cx="1046990" cy="444416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8310" y="25207595"/>
          <a:ext cx="1047115" cy="444500"/>
        </a:xfrm>
        <a:prstGeom prst="rect">
          <a:avLst/>
        </a:prstGeom>
      </xdr:spPr>
    </xdr:pic>
    <xdr:clientData/>
  </xdr:oneCellAnchor>
  <xdr:oneCellAnchor>
    <xdr:from>
      <xdr:col>1</xdr:col>
      <xdr:colOff>74083</xdr:colOff>
      <xdr:row>132</xdr:row>
      <xdr:rowOff>0</xdr:rowOff>
    </xdr:from>
    <xdr:ext cx="637033" cy="343719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885" y="25241885"/>
          <a:ext cx="636905" cy="343535"/>
        </a:xfrm>
        <a:prstGeom prst="rect">
          <a:avLst/>
        </a:prstGeom>
      </xdr:spPr>
    </xdr:pic>
    <xdr:clientData/>
  </xdr:oneCellAnchor>
  <xdr:oneCellAnchor>
    <xdr:from>
      <xdr:col>8</xdr:col>
      <xdr:colOff>784225</xdr:colOff>
      <xdr:row>1</xdr:row>
      <xdr:rowOff>42545</xdr:rowOff>
    </xdr:from>
    <xdr:ext cx="1590675" cy="487045"/>
    <xdr:sp macro="" textlink="">
      <xdr:nvSpPr>
        <xdr:cNvPr id="13" name="TextBox 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/>
      </xdr:nvSpPr>
      <xdr:spPr>
        <a:xfrm>
          <a:off x="10890250" y="233045"/>
          <a:ext cx="1590675" cy="4870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400" b="1">
              <a:solidFill>
                <a:schemeClr val="accent6">
                  <a:lumMod val="50000"/>
                </a:schemeClr>
              </a:solidFill>
            </a:rPr>
            <a:t>PAY SLIP</a:t>
          </a:r>
        </a:p>
      </xdr:txBody>
    </xdr:sp>
    <xdr:clientData/>
  </xdr:oneCellAnchor>
  <xdr:twoCellAnchor editAs="oneCell">
    <xdr:from>
      <xdr:col>1</xdr:col>
      <xdr:colOff>272415</xdr:colOff>
      <xdr:row>30</xdr:row>
      <xdr:rowOff>106045</xdr:rowOff>
    </xdr:from>
    <xdr:to>
      <xdr:col>4</xdr:col>
      <xdr:colOff>734060</xdr:colOff>
      <xdr:row>35</xdr:row>
      <xdr:rowOff>20320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48640" y="5878195"/>
          <a:ext cx="546227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1459230</xdr:colOff>
      <xdr:row>32</xdr:row>
      <xdr:rowOff>57785</xdr:rowOff>
    </xdr:from>
    <xdr:ext cx="1590675" cy="487045"/>
    <xdr:sp macro="" textlink="">
      <xdr:nvSpPr>
        <xdr:cNvPr id="15" name="TextBox 2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 txBox="1"/>
      </xdr:nvSpPr>
      <xdr:spPr>
        <a:xfrm>
          <a:off x="4888230" y="6210935"/>
          <a:ext cx="1590675" cy="4870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400" b="1">
              <a:solidFill>
                <a:schemeClr val="accent6">
                  <a:lumMod val="50000"/>
                </a:schemeClr>
              </a:solidFill>
            </a:rPr>
            <a:t>PAY SLIP</a:t>
          </a:r>
        </a:p>
      </xdr:txBody>
    </xdr:sp>
    <xdr:clientData/>
  </xdr:oneCellAnchor>
  <xdr:twoCellAnchor editAs="oneCell">
    <xdr:from>
      <xdr:col>7</xdr:col>
      <xdr:colOff>289560</xdr:colOff>
      <xdr:row>53</xdr:row>
      <xdr:rowOff>184150</xdr:rowOff>
    </xdr:from>
    <xdr:to>
      <xdr:col>7</xdr:col>
      <xdr:colOff>1336040</xdr:colOff>
      <xdr:row>56</xdr:row>
      <xdr:rowOff>33655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8260" y="10318750"/>
          <a:ext cx="1046480" cy="447675"/>
        </a:xfrm>
        <a:prstGeom prst="rect">
          <a:avLst/>
        </a:prstGeom>
      </xdr:spPr>
    </xdr:pic>
    <xdr:clientData/>
  </xdr:twoCellAnchor>
  <xdr:twoCellAnchor editAs="oneCell">
    <xdr:from>
      <xdr:col>6</xdr:col>
      <xdr:colOff>116417</xdr:colOff>
      <xdr:row>53</xdr:row>
      <xdr:rowOff>158750</xdr:rowOff>
    </xdr:from>
    <xdr:to>
      <xdr:col>6</xdr:col>
      <xdr:colOff>753322</xdr:colOff>
      <xdr:row>55</xdr:row>
      <xdr:rowOff>117475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2830" y="10293350"/>
          <a:ext cx="636905" cy="366395"/>
        </a:xfrm>
        <a:prstGeom prst="rect">
          <a:avLst/>
        </a:prstGeom>
      </xdr:spPr>
    </xdr:pic>
    <xdr:clientData/>
  </xdr:twoCellAnchor>
  <xdr:twoCellAnchor editAs="oneCell">
    <xdr:from>
      <xdr:col>6</xdr:col>
      <xdr:colOff>272415</xdr:colOff>
      <xdr:row>30</xdr:row>
      <xdr:rowOff>106045</xdr:rowOff>
    </xdr:from>
    <xdr:to>
      <xdr:col>9</xdr:col>
      <xdr:colOff>1237615</xdr:colOff>
      <xdr:row>35</xdr:row>
      <xdr:rowOff>20320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559040" y="5878195"/>
          <a:ext cx="5461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1459230</xdr:colOff>
      <xdr:row>32</xdr:row>
      <xdr:rowOff>57785</xdr:rowOff>
    </xdr:from>
    <xdr:ext cx="1590675" cy="487045"/>
    <xdr:sp macro="" textlink="">
      <xdr:nvSpPr>
        <xdr:cNvPr id="19" name="TextBox 2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 txBox="1"/>
      </xdr:nvSpPr>
      <xdr:spPr>
        <a:xfrm>
          <a:off x="11565255" y="6210935"/>
          <a:ext cx="1590675" cy="4870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400" b="1">
              <a:solidFill>
                <a:schemeClr val="accent6">
                  <a:lumMod val="50000"/>
                </a:schemeClr>
              </a:solidFill>
            </a:rPr>
            <a:t>PAY SLIP</a:t>
          </a:r>
        </a:p>
      </xdr:txBody>
    </xdr:sp>
    <xdr:clientData/>
  </xdr:oneCellAnchor>
  <xdr:twoCellAnchor editAs="oneCell">
    <xdr:from>
      <xdr:col>2</xdr:col>
      <xdr:colOff>288925</xdr:colOff>
      <xdr:row>80</xdr:row>
      <xdr:rowOff>120015</xdr:rowOff>
    </xdr:from>
    <xdr:to>
      <xdr:col>2</xdr:col>
      <xdr:colOff>1335405</xdr:colOff>
      <xdr:row>83</xdr:row>
      <xdr:rowOff>71120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6275" y="15570200"/>
          <a:ext cx="1046480" cy="446405"/>
        </a:xfrm>
        <a:prstGeom prst="rect">
          <a:avLst/>
        </a:prstGeom>
      </xdr:spPr>
    </xdr:pic>
    <xdr:clientData/>
  </xdr:twoCellAnchor>
  <xdr:twoCellAnchor editAs="oneCell">
    <xdr:from>
      <xdr:col>1</xdr:col>
      <xdr:colOff>84455</xdr:colOff>
      <xdr:row>80</xdr:row>
      <xdr:rowOff>137160</xdr:rowOff>
    </xdr:from>
    <xdr:to>
      <xdr:col>1</xdr:col>
      <xdr:colOff>721360</xdr:colOff>
      <xdr:row>83</xdr:row>
      <xdr:rowOff>6985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680" y="15587345"/>
          <a:ext cx="636905" cy="365125"/>
        </a:xfrm>
        <a:prstGeom prst="rect">
          <a:avLst/>
        </a:prstGeom>
      </xdr:spPr>
    </xdr:pic>
    <xdr:clientData/>
  </xdr:twoCellAnchor>
  <xdr:twoCellAnchor editAs="oneCell">
    <xdr:from>
      <xdr:col>1</xdr:col>
      <xdr:colOff>272415</xdr:colOff>
      <xdr:row>57</xdr:row>
      <xdr:rowOff>106045</xdr:rowOff>
    </xdr:from>
    <xdr:to>
      <xdr:col>4</xdr:col>
      <xdr:colOff>734060</xdr:colOff>
      <xdr:row>61</xdr:row>
      <xdr:rowOff>172720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48640" y="11029315"/>
          <a:ext cx="546227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1459230</xdr:colOff>
      <xdr:row>59</xdr:row>
      <xdr:rowOff>57785</xdr:rowOff>
    </xdr:from>
    <xdr:ext cx="1590675" cy="487045"/>
    <xdr:sp macro="" textlink="">
      <xdr:nvSpPr>
        <xdr:cNvPr id="23" name="TextBox 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 txBox="1"/>
      </xdr:nvSpPr>
      <xdr:spPr>
        <a:xfrm>
          <a:off x="4888230" y="11362055"/>
          <a:ext cx="1590675" cy="4870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400" b="1">
              <a:solidFill>
                <a:schemeClr val="accent6">
                  <a:lumMod val="50000"/>
                </a:schemeClr>
              </a:solidFill>
            </a:rPr>
            <a:t>PAY SLIP</a:t>
          </a:r>
        </a:p>
      </xdr:txBody>
    </xdr:sp>
    <xdr:clientData/>
  </xdr:oneCellAnchor>
  <xdr:twoCellAnchor editAs="oneCell">
    <xdr:from>
      <xdr:col>2</xdr:col>
      <xdr:colOff>288925</xdr:colOff>
      <xdr:row>108</xdr:row>
      <xdr:rowOff>120015</xdr:rowOff>
    </xdr:from>
    <xdr:to>
      <xdr:col>2</xdr:col>
      <xdr:colOff>1335405</xdr:colOff>
      <xdr:row>110</xdr:row>
      <xdr:rowOff>185420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6275" y="20866100"/>
          <a:ext cx="1046480" cy="446405"/>
        </a:xfrm>
        <a:prstGeom prst="rect">
          <a:avLst/>
        </a:prstGeom>
      </xdr:spPr>
    </xdr:pic>
    <xdr:clientData/>
  </xdr:twoCellAnchor>
  <xdr:twoCellAnchor editAs="oneCell">
    <xdr:from>
      <xdr:col>1</xdr:col>
      <xdr:colOff>84455</xdr:colOff>
      <xdr:row>108</xdr:row>
      <xdr:rowOff>137160</xdr:rowOff>
    </xdr:from>
    <xdr:to>
      <xdr:col>1</xdr:col>
      <xdr:colOff>721360</xdr:colOff>
      <xdr:row>110</xdr:row>
      <xdr:rowOff>121285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680" y="20883245"/>
          <a:ext cx="636905" cy="365125"/>
        </a:xfrm>
        <a:prstGeom prst="rect">
          <a:avLst/>
        </a:prstGeom>
      </xdr:spPr>
    </xdr:pic>
    <xdr:clientData/>
  </xdr:twoCellAnchor>
  <xdr:twoCellAnchor editAs="oneCell">
    <xdr:from>
      <xdr:col>1</xdr:col>
      <xdr:colOff>272415</xdr:colOff>
      <xdr:row>85</xdr:row>
      <xdr:rowOff>106045</xdr:rowOff>
    </xdr:from>
    <xdr:to>
      <xdr:col>4</xdr:col>
      <xdr:colOff>734060</xdr:colOff>
      <xdr:row>89</xdr:row>
      <xdr:rowOff>172720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48640" y="16432530"/>
          <a:ext cx="546227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</xdr:col>
      <xdr:colOff>1459230</xdr:colOff>
      <xdr:row>87</xdr:row>
      <xdr:rowOff>57785</xdr:rowOff>
    </xdr:from>
    <xdr:ext cx="1590675" cy="487045"/>
    <xdr:sp macro="" textlink="">
      <xdr:nvSpPr>
        <xdr:cNvPr id="27" name="TextBox 2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 txBox="1"/>
      </xdr:nvSpPr>
      <xdr:spPr>
        <a:xfrm>
          <a:off x="4888230" y="16765270"/>
          <a:ext cx="1590675" cy="4870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400" b="1">
              <a:solidFill>
                <a:schemeClr val="accent6">
                  <a:lumMod val="50000"/>
                </a:schemeClr>
              </a:solidFill>
            </a:rPr>
            <a:t>PAY SLIP</a:t>
          </a:r>
        </a:p>
      </xdr:txBody>
    </xdr:sp>
    <xdr:clientData/>
  </xdr:oneCellAnchor>
  <xdr:twoCellAnchor editAs="oneCell">
    <xdr:from>
      <xdr:col>7</xdr:col>
      <xdr:colOff>288925</xdr:colOff>
      <xdr:row>80</xdr:row>
      <xdr:rowOff>114300</xdr:rowOff>
    </xdr:from>
    <xdr:to>
      <xdr:col>7</xdr:col>
      <xdr:colOff>1335405</xdr:colOff>
      <xdr:row>83</xdr:row>
      <xdr:rowOff>65405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7625" y="15564485"/>
          <a:ext cx="1046480" cy="446405"/>
        </a:xfrm>
        <a:prstGeom prst="rect">
          <a:avLst/>
        </a:prstGeom>
      </xdr:spPr>
    </xdr:pic>
    <xdr:clientData/>
  </xdr:twoCellAnchor>
  <xdr:twoCellAnchor editAs="oneCell">
    <xdr:from>
      <xdr:col>6</xdr:col>
      <xdr:colOff>84455</xdr:colOff>
      <xdr:row>80</xdr:row>
      <xdr:rowOff>114300</xdr:rowOff>
    </xdr:from>
    <xdr:to>
      <xdr:col>6</xdr:col>
      <xdr:colOff>721360</xdr:colOff>
      <xdr:row>82</xdr:row>
      <xdr:rowOff>174625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71080" y="15564485"/>
          <a:ext cx="636905" cy="365125"/>
        </a:xfrm>
        <a:prstGeom prst="rect">
          <a:avLst/>
        </a:prstGeom>
      </xdr:spPr>
    </xdr:pic>
    <xdr:clientData/>
  </xdr:twoCellAnchor>
  <xdr:twoCellAnchor editAs="oneCell">
    <xdr:from>
      <xdr:col>6</xdr:col>
      <xdr:colOff>271780</xdr:colOff>
      <xdr:row>57</xdr:row>
      <xdr:rowOff>148590</xdr:rowOff>
    </xdr:from>
    <xdr:to>
      <xdr:col>9</xdr:col>
      <xdr:colOff>1236980</xdr:colOff>
      <xdr:row>62</xdr:row>
      <xdr:rowOff>24765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558405" y="11071860"/>
          <a:ext cx="5461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1458595</xdr:colOff>
      <xdr:row>59</xdr:row>
      <xdr:rowOff>121285</xdr:rowOff>
    </xdr:from>
    <xdr:ext cx="1590675" cy="487045"/>
    <xdr:sp macro="" textlink="">
      <xdr:nvSpPr>
        <xdr:cNvPr id="31" name="TextBox 2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 txBox="1"/>
      </xdr:nvSpPr>
      <xdr:spPr>
        <a:xfrm>
          <a:off x="11564620" y="11425555"/>
          <a:ext cx="1590675" cy="4870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400" b="1">
              <a:solidFill>
                <a:schemeClr val="accent6">
                  <a:lumMod val="50000"/>
                </a:schemeClr>
              </a:solidFill>
            </a:rPr>
            <a:t>PAY SLIP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32</xdr:row>
      <xdr:rowOff>38101</xdr:rowOff>
    </xdr:from>
    <xdr:to>
      <xdr:col>3</xdr:col>
      <xdr:colOff>1009650</xdr:colOff>
      <xdr:row>36</xdr:row>
      <xdr:rowOff>123825</xdr:rowOff>
    </xdr:to>
    <xdr:pic>
      <xdr:nvPicPr>
        <xdr:cNvPr id="8" name="Picture 7" descr="2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0000" b="36500"/>
        <a:stretch/>
      </xdr:blipFill>
      <xdr:spPr>
        <a:xfrm>
          <a:off x="123825" y="4800601"/>
          <a:ext cx="5934075" cy="847724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0</xdr:row>
      <xdr:rowOff>47626</xdr:rowOff>
    </xdr:from>
    <xdr:to>
      <xdr:col>3</xdr:col>
      <xdr:colOff>1009650</xdr:colOff>
      <xdr:row>4</xdr:row>
      <xdr:rowOff>133350</xdr:rowOff>
    </xdr:to>
    <xdr:pic>
      <xdr:nvPicPr>
        <xdr:cNvPr id="2" name="Picture 1" descr="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0000" b="36500"/>
        <a:stretch/>
      </xdr:blipFill>
      <xdr:spPr>
        <a:xfrm>
          <a:off x="123825" y="47626"/>
          <a:ext cx="5934075" cy="847724"/>
        </a:xfrm>
        <a:prstGeom prst="rect">
          <a:avLst/>
        </a:prstGeom>
      </xdr:spPr>
    </xdr:pic>
    <xdr:clientData/>
  </xdr:twoCellAnchor>
  <xdr:twoCellAnchor>
    <xdr:from>
      <xdr:col>2</xdr:col>
      <xdr:colOff>952500</xdr:colOff>
      <xdr:row>0</xdr:row>
      <xdr:rowOff>171451</xdr:rowOff>
    </xdr:from>
    <xdr:to>
      <xdr:col>3</xdr:col>
      <xdr:colOff>942975</xdr:colOff>
      <xdr:row>3</xdr:row>
      <xdr:rowOff>95251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4448175" y="171451"/>
          <a:ext cx="1543050" cy="495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marL="0" marR="0" algn="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113B08"/>
              </a:solidFill>
              <a:effectLst/>
              <a:latin typeface="Anton"/>
              <a:ea typeface="Calibri"/>
              <a:cs typeface="Anton"/>
            </a:rPr>
            <a:t>PAYSLIP</a:t>
          </a:r>
          <a:endParaRPr lang="en-US" sz="1200">
            <a:solidFill>
              <a:srgbClr val="113B08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>
    <xdr:from>
      <xdr:col>2</xdr:col>
      <xdr:colOff>809625</xdr:colOff>
      <xdr:row>32</xdr:row>
      <xdr:rowOff>171451</xdr:rowOff>
    </xdr:from>
    <xdr:to>
      <xdr:col>3</xdr:col>
      <xdr:colOff>800100</xdr:colOff>
      <xdr:row>35</xdr:row>
      <xdr:rowOff>95251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/>
      </xdr:nvSpPr>
      <xdr:spPr>
        <a:xfrm>
          <a:off x="4305300" y="4933951"/>
          <a:ext cx="1543050" cy="495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marL="0" marR="0" algn="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113B08"/>
              </a:solidFill>
              <a:effectLst/>
              <a:latin typeface="Anton"/>
              <a:ea typeface="Calibri"/>
              <a:cs typeface="Anton"/>
            </a:rPr>
            <a:t>PAYSLIP</a:t>
          </a:r>
          <a:endParaRPr lang="en-US" sz="1200">
            <a:solidFill>
              <a:srgbClr val="113B08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 editAs="oneCell">
    <xdr:from>
      <xdr:col>4</xdr:col>
      <xdr:colOff>123825</xdr:colOff>
      <xdr:row>32</xdr:row>
      <xdr:rowOff>38101</xdr:rowOff>
    </xdr:from>
    <xdr:to>
      <xdr:col>7</xdr:col>
      <xdr:colOff>1009650</xdr:colOff>
      <xdr:row>36</xdr:row>
      <xdr:rowOff>123825</xdr:rowOff>
    </xdr:to>
    <xdr:pic>
      <xdr:nvPicPr>
        <xdr:cNvPr id="9" name="Picture 8" descr="2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0000" b="36500"/>
        <a:stretch/>
      </xdr:blipFill>
      <xdr:spPr>
        <a:xfrm>
          <a:off x="123825" y="4800601"/>
          <a:ext cx="5934075" cy="847724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0</xdr:row>
      <xdr:rowOff>47626</xdr:rowOff>
    </xdr:from>
    <xdr:to>
      <xdr:col>7</xdr:col>
      <xdr:colOff>1009650</xdr:colOff>
      <xdr:row>4</xdr:row>
      <xdr:rowOff>133350</xdr:rowOff>
    </xdr:to>
    <xdr:pic>
      <xdr:nvPicPr>
        <xdr:cNvPr id="10" name="Picture 9" descr="2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0000" b="36500"/>
        <a:stretch/>
      </xdr:blipFill>
      <xdr:spPr>
        <a:xfrm>
          <a:off x="123825" y="47626"/>
          <a:ext cx="5934075" cy="847724"/>
        </a:xfrm>
        <a:prstGeom prst="rect">
          <a:avLst/>
        </a:prstGeom>
      </xdr:spPr>
    </xdr:pic>
    <xdr:clientData/>
  </xdr:twoCellAnchor>
  <xdr:twoCellAnchor>
    <xdr:from>
      <xdr:col>6</xdr:col>
      <xdr:colOff>952500</xdr:colOff>
      <xdr:row>0</xdr:row>
      <xdr:rowOff>171451</xdr:rowOff>
    </xdr:from>
    <xdr:to>
      <xdr:col>7</xdr:col>
      <xdr:colOff>942975</xdr:colOff>
      <xdr:row>3</xdr:row>
      <xdr:rowOff>95251</xdr:rowOff>
    </xdr:to>
    <xdr:sp macro="" textlink="">
      <xdr:nvSpPr>
        <xdr:cNvPr id="11" name="Text Box 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/>
      </xdr:nvSpPr>
      <xdr:spPr>
        <a:xfrm>
          <a:off x="4448175" y="171451"/>
          <a:ext cx="1543050" cy="495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marL="0" marR="0" algn="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113B08"/>
              </a:solidFill>
              <a:effectLst/>
              <a:latin typeface="Anton"/>
              <a:ea typeface="Calibri"/>
              <a:cs typeface="Anton"/>
            </a:rPr>
            <a:t>PAYSLIP</a:t>
          </a:r>
          <a:endParaRPr lang="en-US" sz="1200">
            <a:solidFill>
              <a:srgbClr val="113B08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>
    <xdr:from>
      <xdr:col>6</xdr:col>
      <xdr:colOff>809625</xdr:colOff>
      <xdr:row>32</xdr:row>
      <xdr:rowOff>171451</xdr:rowOff>
    </xdr:from>
    <xdr:to>
      <xdr:col>7</xdr:col>
      <xdr:colOff>800100</xdr:colOff>
      <xdr:row>35</xdr:row>
      <xdr:rowOff>95251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/>
      </xdr:nvSpPr>
      <xdr:spPr>
        <a:xfrm>
          <a:off x="4305300" y="4933951"/>
          <a:ext cx="1543050" cy="495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marL="0" marR="0" algn="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113B08"/>
              </a:solidFill>
              <a:effectLst/>
              <a:latin typeface="Anton"/>
              <a:ea typeface="Calibri"/>
              <a:cs typeface="Anton"/>
            </a:rPr>
            <a:t>PAYSLIP</a:t>
          </a:r>
          <a:endParaRPr lang="en-US" sz="1200">
            <a:solidFill>
              <a:srgbClr val="113B08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 editAs="oneCell">
    <xdr:from>
      <xdr:col>0</xdr:col>
      <xdr:colOff>123825</xdr:colOff>
      <xdr:row>62</xdr:row>
      <xdr:rowOff>47626</xdr:rowOff>
    </xdr:from>
    <xdr:to>
      <xdr:col>3</xdr:col>
      <xdr:colOff>1009650</xdr:colOff>
      <xdr:row>66</xdr:row>
      <xdr:rowOff>133350</xdr:rowOff>
    </xdr:to>
    <xdr:pic>
      <xdr:nvPicPr>
        <xdr:cNvPr id="14" name="Picture 13" descr="2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0000" b="36500"/>
        <a:stretch/>
      </xdr:blipFill>
      <xdr:spPr>
        <a:xfrm>
          <a:off x="123825" y="47626"/>
          <a:ext cx="5934075" cy="847724"/>
        </a:xfrm>
        <a:prstGeom prst="rect">
          <a:avLst/>
        </a:prstGeom>
      </xdr:spPr>
    </xdr:pic>
    <xdr:clientData/>
  </xdr:twoCellAnchor>
  <xdr:twoCellAnchor>
    <xdr:from>
      <xdr:col>2</xdr:col>
      <xdr:colOff>952500</xdr:colOff>
      <xdr:row>62</xdr:row>
      <xdr:rowOff>171451</xdr:rowOff>
    </xdr:from>
    <xdr:to>
      <xdr:col>3</xdr:col>
      <xdr:colOff>942975</xdr:colOff>
      <xdr:row>65</xdr:row>
      <xdr:rowOff>95251</xdr:rowOff>
    </xdr:to>
    <xdr:sp macro="" textlink="">
      <xdr:nvSpPr>
        <xdr:cNvPr id="15" name="Text Box 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/>
      </xdr:nvSpPr>
      <xdr:spPr>
        <a:xfrm>
          <a:off x="4448175" y="171451"/>
          <a:ext cx="1543050" cy="495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marL="0" marR="0" algn="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113B08"/>
              </a:solidFill>
              <a:effectLst/>
              <a:latin typeface="Anton"/>
              <a:ea typeface="Calibri"/>
              <a:cs typeface="Anton"/>
            </a:rPr>
            <a:t>PAYSLIP</a:t>
          </a:r>
          <a:endParaRPr lang="en-US" sz="1200">
            <a:solidFill>
              <a:srgbClr val="113B08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 editAs="oneCell">
    <xdr:from>
      <xdr:col>0</xdr:col>
      <xdr:colOff>123825</xdr:colOff>
      <xdr:row>94</xdr:row>
      <xdr:rowOff>38101</xdr:rowOff>
    </xdr:from>
    <xdr:to>
      <xdr:col>3</xdr:col>
      <xdr:colOff>1009650</xdr:colOff>
      <xdr:row>98</xdr:row>
      <xdr:rowOff>123825</xdr:rowOff>
    </xdr:to>
    <xdr:pic>
      <xdr:nvPicPr>
        <xdr:cNvPr id="17" name="Picture 16" descr="2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0000" b="36500"/>
        <a:stretch/>
      </xdr:blipFill>
      <xdr:spPr>
        <a:xfrm>
          <a:off x="123825" y="4800601"/>
          <a:ext cx="5934075" cy="847724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62</xdr:row>
      <xdr:rowOff>47626</xdr:rowOff>
    </xdr:from>
    <xdr:to>
      <xdr:col>7</xdr:col>
      <xdr:colOff>1009650</xdr:colOff>
      <xdr:row>66</xdr:row>
      <xdr:rowOff>133350</xdr:rowOff>
    </xdr:to>
    <xdr:pic>
      <xdr:nvPicPr>
        <xdr:cNvPr id="18" name="Picture 17" descr="2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0000" b="36500"/>
        <a:stretch/>
      </xdr:blipFill>
      <xdr:spPr>
        <a:xfrm>
          <a:off x="123825" y="47626"/>
          <a:ext cx="5934075" cy="847724"/>
        </a:xfrm>
        <a:prstGeom prst="rect">
          <a:avLst/>
        </a:prstGeom>
      </xdr:spPr>
    </xdr:pic>
    <xdr:clientData/>
  </xdr:twoCellAnchor>
  <xdr:twoCellAnchor>
    <xdr:from>
      <xdr:col>6</xdr:col>
      <xdr:colOff>952500</xdr:colOff>
      <xdr:row>62</xdr:row>
      <xdr:rowOff>171451</xdr:rowOff>
    </xdr:from>
    <xdr:to>
      <xdr:col>7</xdr:col>
      <xdr:colOff>942975</xdr:colOff>
      <xdr:row>65</xdr:row>
      <xdr:rowOff>95251</xdr:rowOff>
    </xdr:to>
    <xdr:sp macro="" textlink="">
      <xdr:nvSpPr>
        <xdr:cNvPr id="19" name="Text Box 1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/>
      </xdr:nvSpPr>
      <xdr:spPr>
        <a:xfrm>
          <a:off x="4448175" y="171451"/>
          <a:ext cx="1543050" cy="495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marL="0" marR="0" algn="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113B08"/>
              </a:solidFill>
              <a:effectLst/>
              <a:latin typeface="Anton"/>
              <a:ea typeface="Calibri"/>
              <a:cs typeface="Anton"/>
            </a:rPr>
            <a:t>PAYSLIP</a:t>
          </a:r>
          <a:endParaRPr lang="en-US" sz="1200">
            <a:solidFill>
              <a:srgbClr val="113B08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>
    <xdr:from>
      <xdr:col>2</xdr:col>
      <xdr:colOff>809625</xdr:colOff>
      <xdr:row>94</xdr:row>
      <xdr:rowOff>171451</xdr:rowOff>
    </xdr:from>
    <xdr:to>
      <xdr:col>3</xdr:col>
      <xdr:colOff>800100</xdr:colOff>
      <xdr:row>97</xdr:row>
      <xdr:rowOff>95251</xdr:rowOff>
    </xdr:to>
    <xdr:sp macro="" textlink="">
      <xdr:nvSpPr>
        <xdr:cNvPr id="20" name="Text Box 1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/>
      </xdr:nvSpPr>
      <xdr:spPr>
        <a:xfrm>
          <a:off x="4305300" y="4933951"/>
          <a:ext cx="1543050" cy="495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marL="0" marR="0" algn="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113B08"/>
              </a:solidFill>
              <a:effectLst/>
              <a:latin typeface="Anton"/>
              <a:ea typeface="Calibri"/>
              <a:cs typeface="Anton"/>
            </a:rPr>
            <a:t>PAYSLIP</a:t>
          </a:r>
          <a:endParaRPr lang="en-US" sz="1200">
            <a:solidFill>
              <a:srgbClr val="113B08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 editAs="oneCell">
    <xdr:from>
      <xdr:col>0</xdr:col>
      <xdr:colOff>123825</xdr:colOff>
      <xdr:row>156</xdr:row>
      <xdr:rowOff>38101</xdr:rowOff>
    </xdr:from>
    <xdr:to>
      <xdr:col>3</xdr:col>
      <xdr:colOff>1009650</xdr:colOff>
      <xdr:row>160</xdr:row>
      <xdr:rowOff>123825</xdr:rowOff>
    </xdr:to>
    <xdr:pic>
      <xdr:nvPicPr>
        <xdr:cNvPr id="21" name="Picture 20" descr="2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0000" b="36500"/>
        <a:stretch/>
      </xdr:blipFill>
      <xdr:spPr>
        <a:xfrm>
          <a:off x="123825" y="4800601"/>
          <a:ext cx="5934075" cy="847724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124</xdr:row>
      <xdr:rowOff>47626</xdr:rowOff>
    </xdr:from>
    <xdr:to>
      <xdr:col>3</xdr:col>
      <xdr:colOff>1009650</xdr:colOff>
      <xdr:row>128</xdr:row>
      <xdr:rowOff>133350</xdr:rowOff>
    </xdr:to>
    <xdr:pic>
      <xdr:nvPicPr>
        <xdr:cNvPr id="22" name="Picture 21" descr="2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0000" b="36500"/>
        <a:stretch/>
      </xdr:blipFill>
      <xdr:spPr>
        <a:xfrm>
          <a:off x="123825" y="47626"/>
          <a:ext cx="5934075" cy="847724"/>
        </a:xfrm>
        <a:prstGeom prst="rect">
          <a:avLst/>
        </a:prstGeom>
      </xdr:spPr>
    </xdr:pic>
    <xdr:clientData/>
  </xdr:twoCellAnchor>
  <xdr:twoCellAnchor>
    <xdr:from>
      <xdr:col>2</xdr:col>
      <xdr:colOff>952500</xdr:colOff>
      <xdr:row>124</xdr:row>
      <xdr:rowOff>171451</xdr:rowOff>
    </xdr:from>
    <xdr:to>
      <xdr:col>3</xdr:col>
      <xdr:colOff>942975</xdr:colOff>
      <xdr:row>127</xdr:row>
      <xdr:rowOff>95251</xdr:rowOff>
    </xdr:to>
    <xdr:sp macro="" textlink="">
      <xdr:nvSpPr>
        <xdr:cNvPr id="23" name="Text Box 1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 txBox="1"/>
      </xdr:nvSpPr>
      <xdr:spPr>
        <a:xfrm>
          <a:off x="4448175" y="171451"/>
          <a:ext cx="1543050" cy="495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marL="0" marR="0" algn="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113B08"/>
              </a:solidFill>
              <a:effectLst/>
              <a:latin typeface="Anton"/>
              <a:ea typeface="Calibri"/>
              <a:cs typeface="Anton"/>
            </a:rPr>
            <a:t>PAYSLIP</a:t>
          </a:r>
          <a:endParaRPr lang="en-US" sz="1200">
            <a:solidFill>
              <a:srgbClr val="113B08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>
    <xdr:from>
      <xdr:col>2</xdr:col>
      <xdr:colOff>809625</xdr:colOff>
      <xdr:row>156</xdr:row>
      <xdr:rowOff>171451</xdr:rowOff>
    </xdr:from>
    <xdr:to>
      <xdr:col>3</xdr:col>
      <xdr:colOff>800100</xdr:colOff>
      <xdr:row>159</xdr:row>
      <xdr:rowOff>95251</xdr:rowOff>
    </xdr:to>
    <xdr:sp macro="" textlink="">
      <xdr:nvSpPr>
        <xdr:cNvPr id="24" name="Text Box 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 txBox="1"/>
      </xdr:nvSpPr>
      <xdr:spPr>
        <a:xfrm>
          <a:off x="4305300" y="4933951"/>
          <a:ext cx="1543050" cy="495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marL="0" marR="0" algn="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113B08"/>
              </a:solidFill>
              <a:effectLst/>
              <a:latin typeface="Anton"/>
              <a:ea typeface="Calibri"/>
              <a:cs typeface="Anton"/>
            </a:rPr>
            <a:t>PAYSLIP</a:t>
          </a:r>
          <a:endParaRPr lang="en-US" sz="1200">
            <a:solidFill>
              <a:srgbClr val="113B08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 editAs="oneCell">
    <xdr:from>
      <xdr:col>4</xdr:col>
      <xdr:colOff>123825</xdr:colOff>
      <xdr:row>94</xdr:row>
      <xdr:rowOff>28575</xdr:rowOff>
    </xdr:from>
    <xdr:to>
      <xdr:col>7</xdr:col>
      <xdr:colOff>1009650</xdr:colOff>
      <xdr:row>98</xdr:row>
      <xdr:rowOff>114299</xdr:rowOff>
    </xdr:to>
    <xdr:pic>
      <xdr:nvPicPr>
        <xdr:cNvPr id="25" name="Picture 24" descr="2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0000" b="36500"/>
        <a:stretch/>
      </xdr:blipFill>
      <xdr:spPr>
        <a:xfrm>
          <a:off x="6257925" y="23650575"/>
          <a:ext cx="5915025" cy="847724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156</xdr:row>
      <xdr:rowOff>38101</xdr:rowOff>
    </xdr:from>
    <xdr:to>
      <xdr:col>7</xdr:col>
      <xdr:colOff>1009650</xdr:colOff>
      <xdr:row>160</xdr:row>
      <xdr:rowOff>123825</xdr:rowOff>
    </xdr:to>
    <xdr:pic>
      <xdr:nvPicPr>
        <xdr:cNvPr id="29" name="Picture 28" descr="2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0000" b="36500"/>
        <a:stretch/>
      </xdr:blipFill>
      <xdr:spPr>
        <a:xfrm>
          <a:off x="123825" y="24231601"/>
          <a:ext cx="5915025" cy="847724"/>
        </a:xfrm>
        <a:prstGeom prst="rect">
          <a:avLst/>
        </a:prstGeom>
      </xdr:spPr>
    </xdr:pic>
    <xdr:clientData/>
  </xdr:twoCellAnchor>
  <xdr:twoCellAnchor>
    <xdr:from>
      <xdr:col>6</xdr:col>
      <xdr:colOff>809625</xdr:colOff>
      <xdr:row>156</xdr:row>
      <xdr:rowOff>171451</xdr:rowOff>
    </xdr:from>
    <xdr:to>
      <xdr:col>7</xdr:col>
      <xdr:colOff>800100</xdr:colOff>
      <xdr:row>159</xdr:row>
      <xdr:rowOff>95251</xdr:rowOff>
    </xdr:to>
    <xdr:sp macro="" textlink="">
      <xdr:nvSpPr>
        <xdr:cNvPr id="30" name="Text Box 1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 txBox="1"/>
      </xdr:nvSpPr>
      <xdr:spPr>
        <a:xfrm>
          <a:off x="4295775" y="24364951"/>
          <a:ext cx="1533525" cy="495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marL="0" marR="0" algn="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113B08"/>
              </a:solidFill>
              <a:effectLst/>
              <a:latin typeface="Anton"/>
              <a:ea typeface="Calibri"/>
              <a:cs typeface="Anton"/>
            </a:rPr>
            <a:t>PAYSLIP</a:t>
          </a:r>
          <a:endParaRPr lang="en-US" sz="1200">
            <a:solidFill>
              <a:srgbClr val="113B08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 editAs="oneCell">
    <xdr:from>
      <xdr:col>4</xdr:col>
      <xdr:colOff>123825</xdr:colOff>
      <xdr:row>124</xdr:row>
      <xdr:rowOff>38101</xdr:rowOff>
    </xdr:from>
    <xdr:to>
      <xdr:col>7</xdr:col>
      <xdr:colOff>1009650</xdr:colOff>
      <xdr:row>128</xdr:row>
      <xdr:rowOff>123825</xdr:rowOff>
    </xdr:to>
    <xdr:pic>
      <xdr:nvPicPr>
        <xdr:cNvPr id="31" name="Picture 30" descr="2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0000" b="36500"/>
        <a:stretch/>
      </xdr:blipFill>
      <xdr:spPr>
        <a:xfrm>
          <a:off x="123825" y="28422601"/>
          <a:ext cx="6000750" cy="847724"/>
        </a:xfrm>
        <a:prstGeom prst="rect">
          <a:avLst/>
        </a:prstGeom>
      </xdr:spPr>
    </xdr:pic>
    <xdr:clientData/>
  </xdr:twoCellAnchor>
  <xdr:twoCellAnchor>
    <xdr:from>
      <xdr:col>6</xdr:col>
      <xdr:colOff>809625</xdr:colOff>
      <xdr:row>124</xdr:row>
      <xdr:rowOff>171451</xdr:rowOff>
    </xdr:from>
    <xdr:to>
      <xdr:col>7</xdr:col>
      <xdr:colOff>800100</xdr:colOff>
      <xdr:row>127</xdr:row>
      <xdr:rowOff>95251</xdr:rowOff>
    </xdr:to>
    <xdr:sp macro="" textlink="">
      <xdr:nvSpPr>
        <xdr:cNvPr id="32" name="Text Box 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 txBox="1"/>
      </xdr:nvSpPr>
      <xdr:spPr>
        <a:xfrm>
          <a:off x="4352925" y="28555951"/>
          <a:ext cx="1562100" cy="495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marL="0" marR="0" algn="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113B08"/>
              </a:solidFill>
              <a:effectLst/>
              <a:latin typeface="Anton"/>
              <a:ea typeface="Calibri"/>
              <a:cs typeface="Anton"/>
            </a:rPr>
            <a:t>PAYSLIP</a:t>
          </a:r>
          <a:endParaRPr lang="en-US" sz="1200">
            <a:solidFill>
              <a:srgbClr val="113B08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>
    <xdr:from>
      <xdr:col>6</xdr:col>
      <xdr:colOff>809625</xdr:colOff>
      <xdr:row>94</xdr:row>
      <xdr:rowOff>171451</xdr:rowOff>
    </xdr:from>
    <xdr:to>
      <xdr:col>7</xdr:col>
      <xdr:colOff>800100</xdr:colOff>
      <xdr:row>97</xdr:row>
      <xdr:rowOff>95251</xdr:rowOff>
    </xdr:to>
    <xdr:sp macro="" textlink="">
      <xdr:nvSpPr>
        <xdr:cNvPr id="34" name="Text Box 1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 txBox="1"/>
      </xdr:nvSpPr>
      <xdr:spPr>
        <a:xfrm>
          <a:off x="4295775" y="34080451"/>
          <a:ext cx="1533525" cy="495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marL="0" marR="0" algn="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113B08"/>
              </a:solidFill>
              <a:effectLst/>
              <a:latin typeface="Anton"/>
              <a:ea typeface="Calibri"/>
              <a:cs typeface="Anton"/>
            </a:rPr>
            <a:t>PAYSLIP</a:t>
          </a:r>
          <a:endParaRPr lang="en-US" sz="1200">
            <a:solidFill>
              <a:srgbClr val="113B08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 editAs="oneCell">
    <xdr:from>
      <xdr:col>0</xdr:col>
      <xdr:colOff>209550</xdr:colOff>
      <xdr:row>24</xdr:row>
      <xdr:rowOff>123825</xdr:rowOff>
    </xdr:from>
    <xdr:to>
      <xdr:col>0</xdr:col>
      <xdr:colOff>1075295</xdr:colOff>
      <xdr:row>27</xdr:row>
      <xdr:rowOff>95250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22602825"/>
          <a:ext cx="865745" cy="54292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24</xdr:row>
      <xdr:rowOff>66675</xdr:rowOff>
    </xdr:from>
    <xdr:to>
      <xdr:col>2</xdr:col>
      <xdr:colOff>1327621</xdr:colOff>
      <xdr:row>27</xdr:row>
      <xdr:rowOff>171449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0" y="22545675"/>
          <a:ext cx="1194271" cy="676274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209550</xdr:colOff>
      <xdr:row>24</xdr:row>
      <xdr:rowOff>123825</xdr:rowOff>
    </xdr:from>
    <xdr:to>
      <xdr:col>4</xdr:col>
      <xdr:colOff>1075295</xdr:colOff>
      <xdr:row>27</xdr:row>
      <xdr:rowOff>95250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22602825"/>
          <a:ext cx="865745" cy="542925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24</xdr:row>
      <xdr:rowOff>66675</xdr:rowOff>
    </xdr:from>
    <xdr:to>
      <xdr:col>6</xdr:col>
      <xdr:colOff>1327621</xdr:colOff>
      <xdr:row>27</xdr:row>
      <xdr:rowOff>171449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0" y="22545675"/>
          <a:ext cx="1194271" cy="676274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209550</xdr:colOff>
      <xdr:row>56</xdr:row>
      <xdr:rowOff>123825</xdr:rowOff>
    </xdr:from>
    <xdr:to>
      <xdr:col>4</xdr:col>
      <xdr:colOff>1075295</xdr:colOff>
      <xdr:row>59</xdr:row>
      <xdr:rowOff>95250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22602825"/>
          <a:ext cx="865745" cy="542925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56</xdr:row>
      <xdr:rowOff>66675</xdr:rowOff>
    </xdr:from>
    <xdr:to>
      <xdr:col>6</xdr:col>
      <xdr:colOff>1327621</xdr:colOff>
      <xdr:row>59</xdr:row>
      <xdr:rowOff>171449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0" y="22545675"/>
          <a:ext cx="1194271" cy="676274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56</xdr:row>
      <xdr:rowOff>123825</xdr:rowOff>
    </xdr:from>
    <xdr:to>
      <xdr:col>0</xdr:col>
      <xdr:colOff>1075295</xdr:colOff>
      <xdr:row>59</xdr:row>
      <xdr:rowOff>95250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22602825"/>
          <a:ext cx="865745" cy="54292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56</xdr:row>
      <xdr:rowOff>66675</xdr:rowOff>
    </xdr:from>
    <xdr:to>
      <xdr:col>2</xdr:col>
      <xdr:colOff>1327621</xdr:colOff>
      <xdr:row>59</xdr:row>
      <xdr:rowOff>171449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0" y="22545675"/>
          <a:ext cx="1194271" cy="676274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86</xdr:row>
      <xdr:rowOff>123825</xdr:rowOff>
    </xdr:from>
    <xdr:to>
      <xdr:col>0</xdr:col>
      <xdr:colOff>1075295</xdr:colOff>
      <xdr:row>89</xdr:row>
      <xdr:rowOff>95250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22602825"/>
          <a:ext cx="865745" cy="54292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86</xdr:row>
      <xdr:rowOff>66675</xdr:rowOff>
    </xdr:from>
    <xdr:to>
      <xdr:col>2</xdr:col>
      <xdr:colOff>1327621</xdr:colOff>
      <xdr:row>89</xdr:row>
      <xdr:rowOff>171449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0" y="22545675"/>
          <a:ext cx="1194271" cy="676274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209550</xdr:colOff>
      <xdr:row>86</xdr:row>
      <xdr:rowOff>123825</xdr:rowOff>
    </xdr:from>
    <xdr:to>
      <xdr:col>4</xdr:col>
      <xdr:colOff>1075295</xdr:colOff>
      <xdr:row>89</xdr:row>
      <xdr:rowOff>95250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22602825"/>
          <a:ext cx="865745" cy="542925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86</xdr:row>
      <xdr:rowOff>66675</xdr:rowOff>
    </xdr:from>
    <xdr:to>
      <xdr:col>6</xdr:col>
      <xdr:colOff>1327621</xdr:colOff>
      <xdr:row>89</xdr:row>
      <xdr:rowOff>171449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0" y="22545675"/>
          <a:ext cx="1194271" cy="676274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118</xdr:row>
      <xdr:rowOff>123825</xdr:rowOff>
    </xdr:from>
    <xdr:to>
      <xdr:col>0</xdr:col>
      <xdr:colOff>1075295</xdr:colOff>
      <xdr:row>121</xdr:row>
      <xdr:rowOff>95250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22602825"/>
          <a:ext cx="865745" cy="54292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118</xdr:row>
      <xdr:rowOff>66675</xdr:rowOff>
    </xdr:from>
    <xdr:to>
      <xdr:col>2</xdr:col>
      <xdr:colOff>1327621</xdr:colOff>
      <xdr:row>121</xdr:row>
      <xdr:rowOff>171449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0" y="22545675"/>
          <a:ext cx="1194271" cy="676274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148</xdr:row>
      <xdr:rowOff>123825</xdr:rowOff>
    </xdr:from>
    <xdr:to>
      <xdr:col>0</xdr:col>
      <xdr:colOff>1075295</xdr:colOff>
      <xdr:row>151</xdr:row>
      <xdr:rowOff>95250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22602825"/>
          <a:ext cx="865745" cy="54292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148</xdr:row>
      <xdr:rowOff>66675</xdr:rowOff>
    </xdr:from>
    <xdr:to>
      <xdr:col>2</xdr:col>
      <xdr:colOff>1327621</xdr:colOff>
      <xdr:row>151</xdr:row>
      <xdr:rowOff>171449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0" y="22545675"/>
          <a:ext cx="1194271" cy="676274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180</xdr:row>
      <xdr:rowOff>123825</xdr:rowOff>
    </xdr:from>
    <xdr:to>
      <xdr:col>0</xdr:col>
      <xdr:colOff>1075295</xdr:colOff>
      <xdr:row>183</xdr:row>
      <xdr:rowOff>95250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22602825"/>
          <a:ext cx="865745" cy="54292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180</xdr:row>
      <xdr:rowOff>66675</xdr:rowOff>
    </xdr:from>
    <xdr:to>
      <xdr:col>2</xdr:col>
      <xdr:colOff>1327621</xdr:colOff>
      <xdr:row>183</xdr:row>
      <xdr:rowOff>171449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0" y="22545675"/>
          <a:ext cx="1194271" cy="676274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209550</xdr:colOff>
      <xdr:row>118</xdr:row>
      <xdr:rowOff>123825</xdr:rowOff>
    </xdr:from>
    <xdr:to>
      <xdr:col>4</xdr:col>
      <xdr:colOff>1075295</xdr:colOff>
      <xdr:row>121</xdr:row>
      <xdr:rowOff>95250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22602825"/>
          <a:ext cx="865745" cy="542925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118</xdr:row>
      <xdr:rowOff>66675</xdr:rowOff>
    </xdr:from>
    <xdr:to>
      <xdr:col>6</xdr:col>
      <xdr:colOff>1327621</xdr:colOff>
      <xdr:row>121</xdr:row>
      <xdr:rowOff>171449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0" y="22545675"/>
          <a:ext cx="1194271" cy="676274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209550</xdr:colOff>
      <xdr:row>180</xdr:row>
      <xdr:rowOff>123825</xdr:rowOff>
    </xdr:from>
    <xdr:to>
      <xdr:col>4</xdr:col>
      <xdr:colOff>1075295</xdr:colOff>
      <xdr:row>183</xdr:row>
      <xdr:rowOff>95250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22602825"/>
          <a:ext cx="865745" cy="542925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180</xdr:row>
      <xdr:rowOff>66675</xdr:rowOff>
    </xdr:from>
    <xdr:to>
      <xdr:col>6</xdr:col>
      <xdr:colOff>1327621</xdr:colOff>
      <xdr:row>183</xdr:row>
      <xdr:rowOff>171449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0" y="22545675"/>
          <a:ext cx="1194271" cy="676274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209550</xdr:colOff>
      <xdr:row>148</xdr:row>
      <xdr:rowOff>123825</xdr:rowOff>
    </xdr:from>
    <xdr:to>
      <xdr:col>4</xdr:col>
      <xdr:colOff>1075295</xdr:colOff>
      <xdr:row>151</xdr:row>
      <xdr:rowOff>95250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22602825"/>
          <a:ext cx="865745" cy="542925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148</xdr:row>
      <xdr:rowOff>66675</xdr:rowOff>
    </xdr:from>
    <xdr:to>
      <xdr:col>6</xdr:col>
      <xdr:colOff>1327621</xdr:colOff>
      <xdr:row>151</xdr:row>
      <xdr:rowOff>171449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0" y="22545675"/>
          <a:ext cx="1194271" cy="676274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186</xdr:row>
      <xdr:rowOff>38101</xdr:rowOff>
    </xdr:from>
    <xdr:to>
      <xdr:col>3</xdr:col>
      <xdr:colOff>1009650</xdr:colOff>
      <xdr:row>190</xdr:row>
      <xdr:rowOff>123825</xdr:rowOff>
    </xdr:to>
    <xdr:pic>
      <xdr:nvPicPr>
        <xdr:cNvPr id="50" name="Picture 49" descr="2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0000" b="36500"/>
        <a:stretch/>
      </xdr:blipFill>
      <xdr:spPr>
        <a:xfrm>
          <a:off x="6286500" y="29756101"/>
          <a:ext cx="5943600" cy="847724"/>
        </a:xfrm>
        <a:prstGeom prst="rect">
          <a:avLst/>
        </a:prstGeom>
      </xdr:spPr>
    </xdr:pic>
    <xdr:clientData/>
  </xdr:twoCellAnchor>
  <xdr:twoCellAnchor>
    <xdr:from>
      <xdr:col>2</xdr:col>
      <xdr:colOff>809625</xdr:colOff>
      <xdr:row>186</xdr:row>
      <xdr:rowOff>171451</xdr:rowOff>
    </xdr:from>
    <xdr:to>
      <xdr:col>3</xdr:col>
      <xdr:colOff>800100</xdr:colOff>
      <xdr:row>189</xdr:row>
      <xdr:rowOff>95251</xdr:rowOff>
    </xdr:to>
    <xdr:sp macro="" textlink="">
      <xdr:nvSpPr>
        <xdr:cNvPr id="53" name="Text Box 1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 txBox="1"/>
      </xdr:nvSpPr>
      <xdr:spPr>
        <a:xfrm>
          <a:off x="10477500" y="29889451"/>
          <a:ext cx="1543050" cy="495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marL="0" marR="0" algn="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113B08"/>
              </a:solidFill>
              <a:effectLst/>
              <a:latin typeface="Anton"/>
              <a:ea typeface="Calibri"/>
              <a:cs typeface="Anton"/>
            </a:rPr>
            <a:t>PAYSLIP</a:t>
          </a:r>
          <a:endParaRPr lang="en-US" sz="1200">
            <a:solidFill>
              <a:srgbClr val="113B08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 editAs="oneCell">
    <xdr:from>
      <xdr:col>0</xdr:col>
      <xdr:colOff>209550</xdr:colOff>
      <xdr:row>210</xdr:row>
      <xdr:rowOff>123825</xdr:rowOff>
    </xdr:from>
    <xdr:to>
      <xdr:col>0</xdr:col>
      <xdr:colOff>1075295</xdr:colOff>
      <xdr:row>213</xdr:row>
      <xdr:rowOff>95250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34413825"/>
          <a:ext cx="865745" cy="54292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210</xdr:row>
      <xdr:rowOff>66675</xdr:rowOff>
    </xdr:from>
    <xdr:to>
      <xdr:col>2</xdr:col>
      <xdr:colOff>1327621</xdr:colOff>
      <xdr:row>213</xdr:row>
      <xdr:rowOff>171449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1225" y="34356675"/>
          <a:ext cx="1194271" cy="6762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32</xdr:row>
      <xdr:rowOff>38101</xdr:rowOff>
    </xdr:from>
    <xdr:to>
      <xdr:col>3</xdr:col>
      <xdr:colOff>1009650</xdr:colOff>
      <xdr:row>36</xdr:row>
      <xdr:rowOff>123825</xdr:rowOff>
    </xdr:to>
    <xdr:pic>
      <xdr:nvPicPr>
        <xdr:cNvPr id="2" name="Picture 1" descr="2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0000" b="36500"/>
        <a:stretch/>
      </xdr:blipFill>
      <xdr:spPr>
        <a:xfrm>
          <a:off x="123825" y="4800601"/>
          <a:ext cx="5648325" cy="847724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0</xdr:row>
      <xdr:rowOff>47626</xdr:rowOff>
    </xdr:from>
    <xdr:to>
      <xdr:col>3</xdr:col>
      <xdr:colOff>1009650</xdr:colOff>
      <xdr:row>4</xdr:row>
      <xdr:rowOff>133350</xdr:rowOff>
    </xdr:to>
    <xdr:pic>
      <xdr:nvPicPr>
        <xdr:cNvPr id="3" name="Picture 2" descr="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0000" b="36500"/>
        <a:stretch/>
      </xdr:blipFill>
      <xdr:spPr>
        <a:xfrm>
          <a:off x="123825" y="47626"/>
          <a:ext cx="5915025" cy="847724"/>
        </a:xfrm>
        <a:prstGeom prst="rect">
          <a:avLst/>
        </a:prstGeom>
      </xdr:spPr>
    </xdr:pic>
    <xdr:clientData/>
  </xdr:twoCellAnchor>
  <xdr:twoCellAnchor>
    <xdr:from>
      <xdr:col>2</xdr:col>
      <xdr:colOff>952500</xdr:colOff>
      <xdr:row>0</xdr:row>
      <xdr:rowOff>171451</xdr:rowOff>
    </xdr:from>
    <xdr:to>
      <xdr:col>3</xdr:col>
      <xdr:colOff>942975</xdr:colOff>
      <xdr:row>3</xdr:row>
      <xdr:rowOff>95251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/>
      </xdr:nvSpPr>
      <xdr:spPr>
        <a:xfrm>
          <a:off x="4248150" y="171451"/>
          <a:ext cx="1457325" cy="495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marL="0" marR="0" algn="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113B08"/>
              </a:solidFill>
              <a:effectLst/>
              <a:latin typeface="Anton"/>
              <a:ea typeface="Calibri"/>
              <a:cs typeface="Anton"/>
            </a:rPr>
            <a:t>PAYSLIP</a:t>
          </a:r>
          <a:endParaRPr lang="en-US" sz="1200">
            <a:solidFill>
              <a:srgbClr val="113B08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>
    <xdr:from>
      <xdr:col>2</xdr:col>
      <xdr:colOff>809625</xdr:colOff>
      <xdr:row>32</xdr:row>
      <xdr:rowOff>171451</xdr:rowOff>
    </xdr:from>
    <xdr:to>
      <xdr:col>3</xdr:col>
      <xdr:colOff>800100</xdr:colOff>
      <xdr:row>35</xdr:row>
      <xdr:rowOff>95251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/>
      </xdr:nvSpPr>
      <xdr:spPr>
        <a:xfrm>
          <a:off x="4105275" y="4933951"/>
          <a:ext cx="1457325" cy="495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marL="0" marR="0" algn="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113B08"/>
              </a:solidFill>
              <a:effectLst/>
              <a:latin typeface="Anton"/>
              <a:ea typeface="Calibri"/>
              <a:cs typeface="Anton"/>
            </a:rPr>
            <a:t>PAYSLIP</a:t>
          </a:r>
          <a:endParaRPr lang="en-US" sz="1200">
            <a:solidFill>
              <a:srgbClr val="113B08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 editAs="oneCell">
    <xdr:from>
      <xdr:col>4</xdr:col>
      <xdr:colOff>123825</xdr:colOff>
      <xdr:row>0</xdr:row>
      <xdr:rowOff>38101</xdr:rowOff>
    </xdr:from>
    <xdr:to>
      <xdr:col>7</xdr:col>
      <xdr:colOff>1009650</xdr:colOff>
      <xdr:row>4</xdr:row>
      <xdr:rowOff>123825</xdr:rowOff>
    </xdr:to>
    <xdr:pic>
      <xdr:nvPicPr>
        <xdr:cNvPr id="6" name="Picture 5" descr="2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0000" b="36500"/>
        <a:stretch/>
      </xdr:blipFill>
      <xdr:spPr>
        <a:xfrm>
          <a:off x="5924550" y="4800601"/>
          <a:ext cx="5648325" cy="847724"/>
        </a:xfrm>
        <a:prstGeom prst="rect">
          <a:avLst/>
        </a:prstGeom>
      </xdr:spPr>
    </xdr:pic>
    <xdr:clientData/>
  </xdr:twoCellAnchor>
  <xdr:twoCellAnchor>
    <xdr:from>
      <xdr:col>6</xdr:col>
      <xdr:colOff>809625</xdr:colOff>
      <xdr:row>0</xdr:row>
      <xdr:rowOff>171451</xdr:rowOff>
    </xdr:from>
    <xdr:to>
      <xdr:col>7</xdr:col>
      <xdr:colOff>800100</xdr:colOff>
      <xdr:row>3</xdr:row>
      <xdr:rowOff>95251</xdr:rowOff>
    </xdr:to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/>
      </xdr:nvSpPr>
      <xdr:spPr>
        <a:xfrm>
          <a:off x="9906000" y="4933951"/>
          <a:ext cx="1457325" cy="495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marL="0" marR="0" algn="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113B08"/>
              </a:solidFill>
              <a:effectLst/>
              <a:latin typeface="Anton"/>
              <a:ea typeface="Calibri"/>
              <a:cs typeface="Anton"/>
            </a:rPr>
            <a:t>PAYSLIP</a:t>
          </a:r>
          <a:endParaRPr lang="en-US" sz="1200">
            <a:solidFill>
              <a:srgbClr val="113B08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 editAs="oneCell">
    <xdr:from>
      <xdr:col>0</xdr:col>
      <xdr:colOff>123825</xdr:colOff>
      <xdr:row>94</xdr:row>
      <xdr:rowOff>38101</xdr:rowOff>
    </xdr:from>
    <xdr:to>
      <xdr:col>3</xdr:col>
      <xdr:colOff>1009650</xdr:colOff>
      <xdr:row>98</xdr:row>
      <xdr:rowOff>123825</xdr:rowOff>
    </xdr:to>
    <xdr:pic>
      <xdr:nvPicPr>
        <xdr:cNvPr id="10" name="Picture 9" descr="2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0000" b="36500"/>
        <a:stretch/>
      </xdr:blipFill>
      <xdr:spPr>
        <a:xfrm>
          <a:off x="123825" y="13944601"/>
          <a:ext cx="5648325" cy="847724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62</xdr:row>
      <xdr:rowOff>47626</xdr:rowOff>
    </xdr:from>
    <xdr:to>
      <xdr:col>3</xdr:col>
      <xdr:colOff>1009650</xdr:colOff>
      <xdr:row>66</xdr:row>
      <xdr:rowOff>133350</xdr:rowOff>
    </xdr:to>
    <xdr:pic>
      <xdr:nvPicPr>
        <xdr:cNvPr id="11" name="Picture 10" descr="2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0000" b="36500"/>
        <a:stretch/>
      </xdr:blipFill>
      <xdr:spPr>
        <a:xfrm>
          <a:off x="123825" y="9191626"/>
          <a:ext cx="5648325" cy="847724"/>
        </a:xfrm>
        <a:prstGeom prst="rect">
          <a:avLst/>
        </a:prstGeom>
      </xdr:spPr>
    </xdr:pic>
    <xdr:clientData/>
  </xdr:twoCellAnchor>
  <xdr:twoCellAnchor>
    <xdr:from>
      <xdr:col>2</xdr:col>
      <xdr:colOff>952500</xdr:colOff>
      <xdr:row>62</xdr:row>
      <xdr:rowOff>171451</xdr:rowOff>
    </xdr:from>
    <xdr:to>
      <xdr:col>3</xdr:col>
      <xdr:colOff>942975</xdr:colOff>
      <xdr:row>65</xdr:row>
      <xdr:rowOff>95251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 txBox="1"/>
      </xdr:nvSpPr>
      <xdr:spPr>
        <a:xfrm>
          <a:off x="4248150" y="9315451"/>
          <a:ext cx="1457325" cy="495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marL="0" marR="0" algn="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113B08"/>
              </a:solidFill>
              <a:effectLst/>
              <a:latin typeface="Anton"/>
              <a:ea typeface="Calibri"/>
              <a:cs typeface="Anton"/>
            </a:rPr>
            <a:t>PAYSLIP</a:t>
          </a:r>
          <a:endParaRPr lang="en-US" sz="1200">
            <a:solidFill>
              <a:srgbClr val="113B08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>
    <xdr:from>
      <xdr:col>2</xdr:col>
      <xdr:colOff>809625</xdr:colOff>
      <xdr:row>94</xdr:row>
      <xdr:rowOff>171451</xdr:rowOff>
    </xdr:from>
    <xdr:to>
      <xdr:col>3</xdr:col>
      <xdr:colOff>800100</xdr:colOff>
      <xdr:row>97</xdr:row>
      <xdr:rowOff>95251</xdr:rowOff>
    </xdr:to>
    <xdr:sp macro="" textlink="">
      <xdr:nvSpPr>
        <xdr:cNvPr id="13" name="Text Box 1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 txBox="1"/>
      </xdr:nvSpPr>
      <xdr:spPr>
        <a:xfrm>
          <a:off x="4105275" y="14077951"/>
          <a:ext cx="1457325" cy="495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marL="0" marR="0" algn="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113B08"/>
              </a:solidFill>
              <a:effectLst/>
              <a:latin typeface="Anton"/>
              <a:ea typeface="Calibri"/>
              <a:cs typeface="Anton"/>
            </a:rPr>
            <a:t>PAYSLIP</a:t>
          </a:r>
          <a:endParaRPr lang="en-US" sz="1200">
            <a:solidFill>
              <a:srgbClr val="113B08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 editAs="oneCell">
    <xdr:from>
      <xdr:col>4</xdr:col>
      <xdr:colOff>123825</xdr:colOff>
      <xdr:row>62</xdr:row>
      <xdr:rowOff>38101</xdr:rowOff>
    </xdr:from>
    <xdr:to>
      <xdr:col>7</xdr:col>
      <xdr:colOff>1009650</xdr:colOff>
      <xdr:row>66</xdr:row>
      <xdr:rowOff>123825</xdr:rowOff>
    </xdr:to>
    <xdr:pic>
      <xdr:nvPicPr>
        <xdr:cNvPr id="14" name="Picture 13" descr="2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0000" b="36500"/>
        <a:stretch/>
      </xdr:blipFill>
      <xdr:spPr>
        <a:xfrm>
          <a:off x="5924550" y="13944601"/>
          <a:ext cx="5648325" cy="847724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32</xdr:row>
      <xdr:rowOff>47626</xdr:rowOff>
    </xdr:from>
    <xdr:to>
      <xdr:col>7</xdr:col>
      <xdr:colOff>1009650</xdr:colOff>
      <xdr:row>36</xdr:row>
      <xdr:rowOff>133350</xdr:rowOff>
    </xdr:to>
    <xdr:pic>
      <xdr:nvPicPr>
        <xdr:cNvPr id="15" name="Picture 14" descr="2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0000" b="36500"/>
        <a:stretch/>
      </xdr:blipFill>
      <xdr:spPr>
        <a:xfrm>
          <a:off x="5924550" y="9191626"/>
          <a:ext cx="5648325" cy="847724"/>
        </a:xfrm>
        <a:prstGeom prst="rect">
          <a:avLst/>
        </a:prstGeom>
      </xdr:spPr>
    </xdr:pic>
    <xdr:clientData/>
  </xdr:twoCellAnchor>
  <xdr:twoCellAnchor>
    <xdr:from>
      <xdr:col>6</xdr:col>
      <xdr:colOff>952500</xdr:colOff>
      <xdr:row>32</xdr:row>
      <xdr:rowOff>171451</xdr:rowOff>
    </xdr:from>
    <xdr:to>
      <xdr:col>7</xdr:col>
      <xdr:colOff>942975</xdr:colOff>
      <xdr:row>35</xdr:row>
      <xdr:rowOff>95251</xdr:rowOff>
    </xdr:to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 txBox="1"/>
      </xdr:nvSpPr>
      <xdr:spPr>
        <a:xfrm>
          <a:off x="10048875" y="9315451"/>
          <a:ext cx="1457325" cy="495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marL="0" marR="0" algn="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113B08"/>
              </a:solidFill>
              <a:effectLst/>
              <a:latin typeface="Anton"/>
              <a:ea typeface="Calibri"/>
              <a:cs typeface="Anton"/>
            </a:rPr>
            <a:t>PAYSLIP</a:t>
          </a:r>
          <a:endParaRPr lang="en-US" sz="1200">
            <a:solidFill>
              <a:srgbClr val="113B08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>
    <xdr:from>
      <xdr:col>6</xdr:col>
      <xdr:colOff>809625</xdr:colOff>
      <xdr:row>62</xdr:row>
      <xdr:rowOff>171451</xdr:rowOff>
    </xdr:from>
    <xdr:to>
      <xdr:col>7</xdr:col>
      <xdr:colOff>800100</xdr:colOff>
      <xdr:row>65</xdr:row>
      <xdr:rowOff>95251</xdr:rowOff>
    </xdr:to>
    <xdr:sp macro="" textlink="">
      <xdr:nvSpPr>
        <xdr:cNvPr id="17" name="Text Box 1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 txBox="1"/>
      </xdr:nvSpPr>
      <xdr:spPr>
        <a:xfrm>
          <a:off x="9906000" y="14077951"/>
          <a:ext cx="1457325" cy="495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marL="0" marR="0" algn="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113B08"/>
              </a:solidFill>
              <a:effectLst/>
              <a:latin typeface="Anton"/>
              <a:ea typeface="Calibri"/>
              <a:cs typeface="Anton"/>
            </a:rPr>
            <a:t>PAYSLIP</a:t>
          </a:r>
          <a:endParaRPr lang="en-US" sz="1200">
            <a:solidFill>
              <a:srgbClr val="113B08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 editAs="oneCell">
    <xdr:from>
      <xdr:col>0</xdr:col>
      <xdr:colOff>123825</xdr:colOff>
      <xdr:row>156</xdr:row>
      <xdr:rowOff>38101</xdr:rowOff>
    </xdr:from>
    <xdr:to>
      <xdr:col>3</xdr:col>
      <xdr:colOff>1009650</xdr:colOff>
      <xdr:row>160</xdr:row>
      <xdr:rowOff>123825</xdr:rowOff>
    </xdr:to>
    <xdr:pic>
      <xdr:nvPicPr>
        <xdr:cNvPr id="18" name="Picture 17" descr="2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0000" b="36500"/>
        <a:stretch/>
      </xdr:blipFill>
      <xdr:spPr>
        <a:xfrm>
          <a:off x="123825" y="23088601"/>
          <a:ext cx="5648325" cy="847724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124</xdr:row>
      <xdr:rowOff>47626</xdr:rowOff>
    </xdr:from>
    <xdr:to>
      <xdr:col>3</xdr:col>
      <xdr:colOff>1009650</xdr:colOff>
      <xdr:row>128</xdr:row>
      <xdr:rowOff>133350</xdr:rowOff>
    </xdr:to>
    <xdr:pic>
      <xdr:nvPicPr>
        <xdr:cNvPr id="19" name="Picture 18" descr="2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0000" b="36500"/>
        <a:stretch/>
      </xdr:blipFill>
      <xdr:spPr>
        <a:xfrm>
          <a:off x="123825" y="18335626"/>
          <a:ext cx="5648325" cy="847724"/>
        </a:xfrm>
        <a:prstGeom prst="rect">
          <a:avLst/>
        </a:prstGeom>
      </xdr:spPr>
    </xdr:pic>
    <xdr:clientData/>
  </xdr:twoCellAnchor>
  <xdr:twoCellAnchor>
    <xdr:from>
      <xdr:col>2</xdr:col>
      <xdr:colOff>952500</xdr:colOff>
      <xdr:row>124</xdr:row>
      <xdr:rowOff>171451</xdr:rowOff>
    </xdr:from>
    <xdr:to>
      <xdr:col>3</xdr:col>
      <xdr:colOff>942975</xdr:colOff>
      <xdr:row>127</xdr:row>
      <xdr:rowOff>95251</xdr:rowOff>
    </xdr:to>
    <xdr:sp macro="" textlink="">
      <xdr:nvSpPr>
        <xdr:cNvPr id="20" name="Text Box 1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 txBox="1"/>
      </xdr:nvSpPr>
      <xdr:spPr>
        <a:xfrm>
          <a:off x="4248150" y="18459451"/>
          <a:ext cx="1457325" cy="495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marL="0" marR="0" algn="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113B08"/>
              </a:solidFill>
              <a:effectLst/>
              <a:latin typeface="Anton"/>
              <a:ea typeface="Calibri"/>
              <a:cs typeface="Anton"/>
            </a:rPr>
            <a:t>PAYSLIP</a:t>
          </a:r>
          <a:endParaRPr lang="en-US" sz="1200">
            <a:solidFill>
              <a:srgbClr val="113B08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>
    <xdr:from>
      <xdr:col>2</xdr:col>
      <xdr:colOff>809625</xdr:colOff>
      <xdr:row>156</xdr:row>
      <xdr:rowOff>171451</xdr:rowOff>
    </xdr:from>
    <xdr:to>
      <xdr:col>3</xdr:col>
      <xdr:colOff>800100</xdr:colOff>
      <xdr:row>159</xdr:row>
      <xdr:rowOff>95251</xdr:rowOff>
    </xdr:to>
    <xdr:sp macro="" textlink="">
      <xdr:nvSpPr>
        <xdr:cNvPr id="21" name="Text Box 1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SpPr txBox="1"/>
      </xdr:nvSpPr>
      <xdr:spPr>
        <a:xfrm>
          <a:off x="4105275" y="23221951"/>
          <a:ext cx="1457325" cy="495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marL="0" marR="0" algn="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113B08"/>
              </a:solidFill>
              <a:effectLst/>
              <a:latin typeface="Anton"/>
              <a:ea typeface="Calibri"/>
              <a:cs typeface="Anton"/>
            </a:rPr>
            <a:t>PAYSLIP</a:t>
          </a:r>
          <a:endParaRPr lang="en-US" sz="1200">
            <a:solidFill>
              <a:srgbClr val="113B08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 editAs="oneCell">
    <xdr:from>
      <xdr:col>4</xdr:col>
      <xdr:colOff>123825</xdr:colOff>
      <xdr:row>94</xdr:row>
      <xdr:rowOff>38101</xdr:rowOff>
    </xdr:from>
    <xdr:to>
      <xdr:col>7</xdr:col>
      <xdr:colOff>1009650</xdr:colOff>
      <xdr:row>98</xdr:row>
      <xdr:rowOff>123825</xdr:rowOff>
    </xdr:to>
    <xdr:pic>
      <xdr:nvPicPr>
        <xdr:cNvPr id="22" name="Picture 21" descr="2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0000" b="36500"/>
        <a:stretch/>
      </xdr:blipFill>
      <xdr:spPr>
        <a:xfrm>
          <a:off x="5924550" y="23088601"/>
          <a:ext cx="5648325" cy="847724"/>
        </a:xfrm>
        <a:prstGeom prst="rect">
          <a:avLst/>
        </a:prstGeom>
      </xdr:spPr>
    </xdr:pic>
    <xdr:clientData/>
  </xdr:twoCellAnchor>
  <xdr:twoCellAnchor>
    <xdr:from>
      <xdr:col>6</xdr:col>
      <xdr:colOff>809625</xdr:colOff>
      <xdr:row>94</xdr:row>
      <xdr:rowOff>171451</xdr:rowOff>
    </xdr:from>
    <xdr:to>
      <xdr:col>7</xdr:col>
      <xdr:colOff>800100</xdr:colOff>
      <xdr:row>97</xdr:row>
      <xdr:rowOff>95251</xdr:rowOff>
    </xdr:to>
    <xdr:sp macro="" textlink="">
      <xdr:nvSpPr>
        <xdr:cNvPr id="25" name="Text Box 1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 txBox="1"/>
      </xdr:nvSpPr>
      <xdr:spPr>
        <a:xfrm>
          <a:off x="9906000" y="23221951"/>
          <a:ext cx="1457325" cy="495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marL="0" marR="0" algn="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113B08"/>
              </a:solidFill>
              <a:effectLst/>
              <a:latin typeface="Anton"/>
              <a:ea typeface="Calibri"/>
              <a:cs typeface="Anton"/>
            </a:rPr>
            <a:t>PAYSLIP</a:t>
          </a:r>
          <a:endParaRPr lang="en-US" sz="1200">
            <a:solidFill>
              <a:srgbClr val="113B08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 editAs="oneCell">
    <xdr:from>
      <xdr:col>0</xdr:col>
      <xdr:colOff>123825</xdr:colOff>
      <xdr:row>186</xdr:row>
      <xdr:rowOff>38101</xdr:rowOff>
    </xdr:from>
    <xdr:to>
      <xdr:col>3</xdr:col>
      <xdr:colOff>1009650</xdr:colOff>
      <xdr:row>190</xdr:row>
      <xdr:rowOff>123825</xdr:rowOff>
    </xdr:to>
    <xdr:pic>
      <xdr:nvPicPr>
        <xdr:cNvPr id="26" name="Picture 25" descr="2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0000" b="36500"/>
        <a:stretch/>
      </xdr:blipFill>
      <xdr:spPr>
        <a:xfrm>
          <a:off x="123825" y="32232601"/>
          <a:ext cx="5648325" cy="847724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156</xdr:row>
      <xdr:rowOff>47626</xdr:rowOff>
    </xdr:from>
    <xdr:to>
      <xdr:col>7</xdr:col>
      <xdr:colOff>1009650</xdr:colOff>
      <xdr:row>160</xdr:row>
      <xdr:rowOff>133350</xdr:rowOff>
    </xdr:to>
    <xdr:pic>
      <xdr:nvPicPr>
        <xdr:cNvPr id="27" name="Picture 26" descr="2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0000" b="36500"/>
        <a:stretch/>
      </xdr:blipFill>
      <xdr:spPr>
        <a:xfrm>
          <a:off x="123825" y="27479626"/>
          <a:ext cx="5648325" cy="847724"/>
        </a:xfrm>
        <a:prstGeom prst="rect">
          <a:avLst/>
        </a:prstGeom>
      </xdr:spPr>
    </xdr:pic>
    <xdr:clientData/>
  </xdr:twoCellAnchor>
  <xdr:twoCellAnchor>
    <xdr:from>
      <xdr:col>6</xdr:col>
      <xdr:colOff>952500</xdr:colOff>
      <xdr:row>156</xdr:row>
      <xdr:rowOff>171451</xdr:rowOff>
    </xdr:from>
    <xdr:to>
      <xdr:col>7</xdr:col>
      <xdr:colOff>942975</xdr:colOff>
      <xdr:row>159</xdr:row>
      <xdr:rowOff>95251</xdr:rowOff>
    </xdr:to>
    <xdr:sp macro="" textlink="">
      <xdr:nvSpPr>
        <xdr:cNvPr id="28" name="Text Box 1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 txBox="1"/>
      </xdr:nvSpPr>
      <xdr:spPr>
        <a:xfrm>
          <a:off x="4248150" y="27603451"/>
          <a:ext cx="1457325" cy="495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marL="0" marR="0" algn="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113B08"/>
              </a:solidFill>
              <a:effectLst/>
              <a:latin typeface="Anton"/>
              <a:ea typeface="Calibri"/>
              <a:cs typeface="Anton"/>
            </a:rPr>
            <a:t>PAYSLIP</a:t>
          </a:r>
          <a:endParaRPr lang="en-US" sz="1200">
            <a:solidFill>
              <a:srgbClr val="113B08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>
    <xdr:from>
      <xdr:col>2</xdr:col>
      <xdr:colOff>809625</xdr:colOff>
      <xdr:row>186</xdr:row>
      <xdr:rowOff>171451</xdr:rowOff>
    </xdr:from>
    <xdr:to>
      <xdr:col>3</xdr:col>
      <xdr:colOff>800100</xdr:colOff>
      <xdr:row>189</xdr:row>
      <xdr:rowOff>95251</xdr:rowOff>
    </xdr:to>
    <xdr:sp macro="" textlink="">
      <xdr:nvSpPr>
        <xdr:cNvPr id="29" name="Text Box 1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 txBox="1"/>
      </xdr:nvSpPr>
      <xdr:spPr>
        <a:xfrm>
          <a:off x="4105275" y="32365951"/>
          <a:ext cx="1457325" cy="495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marL="0" marR="0" algn="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113B08"/>
              </a:solidFill>
              <a:effectLst/>
              <a:latin typeface="Anton"/>
              <a:ea typeface="Calibri"/>
              <a:cs typeface="Anton"/>
            </a:rPr>
            <a:t>PAYSLIP</a:t>
          </a:r>
          <a:endParaRPr lang="en-US" sz="1200">
            <a:solidFill>
              <a:srgbClr val="113B08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 editAs="oneCell">
    <xdr:from>
      <xdr:col>4</xdr:col>
      <xdr:colOff>123825</xdr:colOff>
      <xdr:row>124</xdr:row>
      <xdr:rowOff>38101</xdr:rowOff>
    </xdr:from>
    <xdr:to>
      <xdr:col>7</xdr:col>
      <xdr:colOff>1009650</xdr:colOff>
      <xdr:row>128</xdr:row>
      <xdr:rowOff>123825</xdr:rowOff>
    </xdr:to>
    <xdr:pic>
      <xdr:nvPicPr>
        <xdr:cNvPr id="30" name="Picture 29" descr="2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0000" b="36500"/>
        <a:stretch/>
      </xdr:blipFill>
      <xdr:spPr>
        <a:xfrm>
          <a:off x="123825" y="33947101"/>
          <a:ext cx="5915025" cy="847724"/>
        </a:xfrm>
        <a:prstGeom prst="rect">
          <a:avLst/>
        </a:prstGeom>
      </xdr:spPr>
    </xdr:pic>
    <xdr:clientData/>
  </xdr:twoCellAnchor>
  <xdr:twoCellAnchor>
    <xdr:from>
      <xdr:col>6</xdr:col>
      <xdr:colOff>809625</xdr:colOff>
      <xdr:row>124</xdr:row>
      <xdr:rowOff>171451</xdr:rowOff>
    </xdr:from>
    <xdr:to>
      <xdr:col>7</xdr:col>
      <xdr:colOff>800100</xdr:colOff>
      <xdr:row>127</xdr:row>
      <xdr:rowOff>95251</xdr:rowOff>
    </xdr:to>
    <xdr:sp macro="" textlink="">
      <xdr:nvSpPr>
        <xdr:cNvPr id="31" name="Text Box 1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SpPr txBox="1"/>
      </xdr:nvSpPr>
      <xdr:spPr>
        <a:xfrm>
          <a:off x="4295775" y="34080451"/>
          <a:ext cx="1533525" cy="495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marL="0" marR="0" algn="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113B08"/>
              </a:solidFill>
              <a:effectLst/>
              <a:latin typeface="Anton"/>
              <a:ea typeface="Calibri"/>
              <a:cs typeface="Anton"/>
            </a:rPr>
            <a:t>PAYSLIP</a:t>
          </a:r>
          <a:endParaRPr lang="en-US" sz="1200">
            <a:solidFill>
              <a:srgbClr val="113B08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 editAs="oneCell">
    <xdr:from>
      <xdr:col>0</xdr:col>
      <xdr:colOff>123825</xdr:colOff>
      <xdr:row>218</xdr:row>
      <xdr:rowOff>38101</xdr:rowOff>
    </xdr:from>
    <xdr:to>
      <xdr:col>3</xdr:col>
      <xdr:colOff>1009650</xdr:colOff>
      <xdr:row>222</xdr:row>
      <xdr:rowOff>123825</xdr:rowOff>
    </xdr:to>
    <xdr:pic>
      <xdr:nvPicPr>
        <xdr:cNvPr id="32" name="Picture 31" descr="2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0000" b="36500"/>
        <a:stretch/>
      </xdr:blipFill>
      <xdr:spPr>
        <a:xfrm>
          <a:off x="123825" y="29184601"/>
          <a:ext cx="5943600" cy="847724"/>
        </a:xfrm>
        <a:prstGeom prst="rect">
          <a:avLst/>
        </a:prstGeom>
      </xdr:spPr>
    </xdr:pic>
    <xdr:clientData/>
  </xdr:twoCellAnchor>
  <xdr:twoCellAnchor>
    <xdr:from>
      <xdr:col>2</xdr:col>
      <xdr:colOff>809625</xdr:colOff>
      <xdr:row>218</xdr:row>
      <xdr:rowOff>171451</xdr:rowOff>
    </xdr:from>
    <xdr:to>
      <xdr:col>3</xdr:col>
      <xdr:colOff>800100</xdr:colOff>
      <xdr:row>221</xdr:row>
      <xdr:rowOff>95251</xdr:rowOff>
    </xdr:to>
    <xdr:sp macro="" textlink="">
      <xdr:nvSpPr>
        <xdr:cNvPr id="33" name="Text Box 1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SpPr txBox="1"/>
      </xdr:nvSpPr>
      <xdr:spPr>
        <a:xfrm>
          <a:off x="4314825" y="29317951"/>
          <a:ext cx="1543050" cy="495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marL="0" marR="0" algn="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113B08"/>
              </a:solidFill>
              <a:effectLst/>
              <a:latin typeface="Anton"/>
              <a:ea typeface="Calibri"/>
              <a:cs typeface="Anton"/>
            </a:rPr>
            <a:t>PAYSLIP</a:t>
          </a:r>
          <a:endParaRPr lang="en-US" sz="1200">
            <a:solidFill>
              <a:srgbClr val="113B08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 editAs="oneCell">
    <xdr:from>
      <xdr:col>0</xdr:col>
      <xdr:colOff>209550</xdr:colOff>
      <xdr:row>24</xdr:row>
      <xdr:rowOff>123825</xdr:rowOff>
    </xdr:from>
    <xdr:to>
      <xdr:col>0</xdr:col>
      <xdr:colOff>1075295</xdr:colOff>
      <xdr:row>27</xdr:row>
      <xdr:rowOff>95250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22602825"/>
          <a:ext cx="865745" cy="54292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24</xdr:row>
      <xdr:rowOff>66675</xdr:rowOff>
    </xdr:from>
    <xdr:to>
      <xdr:col>2</xdr:col>
      <xdr:colOff>1327621</xdr:colOff>
      <xdr:row>27</xdr:row>
      <xdr:rowOff>171449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0" y="22545675"/>
          <a:ext cx="1194271" cy="676274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209550</xdr:colOff>
      <xdr:row>24</xdr:row>
      <xdr:rowOff>123825</xdr:rowOff>
    </xdr:from>
    <xdr:to>
      <xdr:col>4</xdr:col>
      <xdr:colOff>1075295</xdr:colOff>
      <xdr:row>27</xdr:row>
      <xdr:rowOff>95250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22602825"/>
          <a:ext cx="865745" cy="542925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24</xdr:row>
      <xdr:rowOff>66675</xdr:rowOff>
    </xdr:from>
    <xdr:to>
      <xdr:col>6</xdr:col>
      <xdr:colOff>1327621</xdr:colOff>
      <xdr:row>27</xdr:row>
      <xdr:rowOff>171449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0" y="22545675"/>
          <a:ext cx="1194271" cy="676274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56</xdr:row>
      <xdr:rowOff>123825</xdr:rowOff>
    </xdr:from>
    <xdr:to>
      <xdr:col>0</xdr:col>
      <xdr:colOff>1075295</xdr:colOff>
      <xdr:row>59</xdr:row>
      <xdr:rowOff>95250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22602825"/>
          <a:ext cx="865745" cy="54292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56</xdr:row>
      <xdr:rowOff>66675</xdr:rowOff>
    </xdr:from>
    <xdr:to>
      <xdr:col>2</xdr:col>
      <xdr:colOff>1327621</xdr:colOff>
      <xdr:row>59</xdr:row>
      <xdr:rowOff>171449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0" y="22545675"/>
          <a:ext cx="1194271" cy="676274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209550</xdr:colOff>
      <xdr:row>56</xdr:row>
      <xdr:rowOff>123825</xdr:rowOff>
    </xdr:from>
    <xdr:to>
      <xdr:col>4</xdr:col>
      <xdr:colOff>1075295</xdr:colOff>
      <xdr:row>59</xdr:row>
      <xdr:rowOff>95250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22602825"/>
          <a:ext cx="865745" cy="542925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56</xdr:row>
      <xdr:rowOff>66675</xdr:rowOff>
    </xdr:from>
    <xdr:to>
      <xdr:col>6</xdr:col>
      <xdr:colOff>1327621</xdr:colOff>
      <xdr:row>59</xdr:row>
      <xdr:rowOff>171449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0" y="22545675"/>
          <a:ext cx="1194271" cy="676274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86</xdr:row>
      <xdr:rowOff>123825</xdr:rowOff>
    </xdr:from>
    <xdr:to>
      <xdr:col>0</xdr:col>
      <xdr:colOff>1075295</xdr:colOff>
      <xdr:row>89</xdr:row>
      <xdr:rowOff>95250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22602825"/>
          <a:ext cx="865745" cy="54292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86</xdr:row>
      <xdr:rowOff>66675</xdr:rowOff>
    </xdr:from>
    <xdr:to>
      <xdr:col>2</xdr:col>
      <xdr:colOff>1327621</xdr:colOff>
      <xdr:row>89</xdr:row>
      <xdr:rowOff>171449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0" y="22545675"/>
          <a:ext cx="1194271" cy="676274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209550</xdr:colOff>
      <xdr:row>86</xdr:row>
      <xdr:rowOff>123825</xdr:rowOff>
    </xdr:from>
    <xdr:to>
      <xdr:col>4</xdr:col>
      <xdr:colOff>1075295</xdr:colOff>
      <xdr:row>89</xdr:row>
      <xdr:rowOff>95250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22602825"/>
          <a:ext cx="865745" cy="542925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86</xdr:row>
      <xdr:rowOff>66675</xdr:rowOff>
    </xdr:from>
    <xdr:to>
      <xdr:col>6</xdr:col>
      <xdr:colOff>1327621</xdr:colOff>
      <xdr:row>89</xdr:row>
      <xdr:rowOff>171449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0" y="22545675"/>
          <a:ext cx="1194271" cy="676274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118</xdr:row>
      <xdr:rowOff>123825</xdr:rowOff>
    </xdr:from>
    <xdr:to>
      <xdr:col>0</xdr:col>
      <xdr:colOff>1075295</xdr:colOff>
      <xdr:row>121</xdr:row>
      <xdr:rowOff>95250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A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22602825"/>
          <a:ext cx="865745" cy="54292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118</xdr:row>
      <xdr:rowOff>66675</xdr:rowOff>
    </xdr:from>
    <xdr:to>
      <xdr:col>2</xdr:col>
      <xdr:colOff>1327621</xdr:colOff>
      <xdr:row>121</xdr:row>
      <xdr:rowOff>171449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A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0" y="22545675"/>
          <a:ext cx="1194271" cy="676274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209550</xdr:colOff>
      <xdr:row>118</xdr:row>
      <xdr:rowOff>123825</xdr:rowOff>
    </xdr:from>
    <xdr:to>
      <xdr:col>4</xdr:col>
      <xdr:colOff>1075295</xdr:colOff>
      <xdr:row>121</xdr:row>
      <xdr:rowOff>95250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A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22602825"/>
          <a:ext cx="865745" cy="542925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118</xdr:row>
      <xdr:rowOff>66675</xdr:rowOff>
    </xdr:from>
    <xdr:to>
      <xdr:col>6</xdr:col>
      <xdr:colOff>1327621</xdr:colOff>
      <xdr:row>121</xdr:row>
      <xdr:rowOff>171449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A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0" y="22545675"/>
          <a:ext cx="1194271" cy="676274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148</xdr:row>
      <xdr:rowOff>123825</xdr:rowOff>
    </xdr:from>
    <xdr:to>
      <xdr:col>0</xdr:col>
      <xdr:colOff>1075295</xdr:colOff>
      <xdr:row>151</xdr:row>
      <xdr:rowOff>95250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A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22602825"/>
          <a:ext cx="865745" cy="54292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148</xdr:row>
      <xdr:rowOff>66675</xdr:rowOff>
    </xdr:from>
    <xdr:to>
      <xdr:col>2</xdr:col>
      <xdr:colOff>1327621</xdr:colOff>
      <xdr:row>151</xdr:row>
      <xdr:rowOff>171449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A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0" y="22545675"/>
          <a:ext cx="1194271" cy="676274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209550</xdr:colOff>
      <xdr:row>148</xdr:row>
      <xdr:rowOff>123825</xdr:rowOff>
    </xdr:from>
    <xdr:to>
      <xdr:col>4</xdr:col>
      <xdr:colOff>1075295</xdr:colOff>
      <xdr:row>151</xdr:row>
      <xdr:rowOff>95250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A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22602825"/>
          <a:ext cx="865745" cy="542925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148</xdr:row>
      <xdr:rowOff>66675</xdr:rowOff>
    </xdr:from>
    <xdr:to>
      <xdr:col>6</xdr:col>
      <xdr:colOff>1327621</xdr:colOff>
      <xdr:row>151</xdr:row>
      <xdr:rowOff>171449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A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0" y="22545675"/>
          <a:ext cx="1194271" cy="676274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180</xdr:row>
      <xdr:rowOff>123825</xdr:rowOff>
    </xdr:from>
    <xdr:to>
      <xdr:col>0</xdr:col>
      <xdr:colOff>1075295</xdr:colOff>
      <xdr:row>183</xdr:row>
      <xdr:rowOff>95250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A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22602825"/>
          <a:ext cx="865745" cy="54292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180</xdr:row>
      <xdr:rowOff>66675</xdr:rowOff>
    </xdr:from>
    <xdr:to>
      <xdr:col>2</xdr:col>
      <xdr:colOff>1327621</xdr:colOff>
      <xdr:row>183</xdr:row>
      <xdr:rowOff>171449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A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0" y="22545675"/>
          <a:ext cx="1194271" cy="676274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209550</xdr:colOff>
      <xdr:row>180</xdr:row>
      <xdr:rowOff>123825</xdr:rowOff>
    </xdr:from>
    <xdr:to>
      <xdr:col>4</xdr:col>
      <xdr:colOff>1075295</xdr:colOff>
      <xdr:row>183</xdr:row>
      <xdr:rowOff>95250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A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22602825"/>
          <a:ext cx="865745" cy="542925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180</xdr:row>
      <xdr:rowOff>66675</xdr:rowOff>
    </xdr:from>
    <xdr:to>
      <xdr:col>6</xdr:col>
      <xdr:colOff>1327621</xdr:colOff>
      <xdr:row>183</xdr:row>
      <xdr:rowOff>171449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A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0" y="22545675"/>
          <a:ext cx="1194271" cy="676274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210</xdr:row>
      <xdr:rowOff>123825</xdr:rowOff>
    </xdr:from>
    <xdr:to>
      <xdr:col>0</xdr:col>
      <xdr:colOff>1075295</xdr:colOff>
      <xdr:row>213</xdr:row>
      <xdr:rowOff>95250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A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22602825"/>
          <a:ext cx="865745" cy="54292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210</xdr:row>
      <xdr:rowOff>66675</xdr:rowOff>
    </xdr:from>
    <xdr:to>
      <xdr:col>2</xdr:col>
      <xdr:colOff>1327621</xdr:colOff>
      <xdr:row>213</xdr:row>
      <xdr:rowOff>171449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A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0" y="22545675"/>
          <a:ext cx="1194271" cy="676274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242</xdr:row>
      <xdr:rowOff>123825</xdr:rowOff>
    </xdr:from>
    <xdr:to>
      <xdr:col>0</xdr:col>
      <xdr:colOff>1075295</xdr:colOff>
      <xdr:row>245</xdr:row>
      <xdr:rowOff>95250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A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22602825"/>
          <a:ext cx="865745" cy="54292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242</xdr:row>
      <xdr:rowOff>66675</xdr:rowOff>
    </xdr:from>
    <xdr:to>
      <xdr:col>2</xdr:col>
      <xdr:colOff>1327621</xdr:colOff>
      <xdr:row>245</xdr:row>
      <xdr:rowOff>171449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A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0" y="22545675"/>
          <a:ext cx="1194271" cy="67627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32</xdr:row>
      <xdr:rowOff>38101</xdr:rowOff>
    </xdr:from>
    <xdr:to>
      <xdr:col>3</xdr:col>
      <xdr:colOff>1009650</xdr:colOff>
      <xdr:row>36</xdr:row>
      <xdr:rowOff>123825</xdr:rowOff>
    </xdr:to>
    <xdr:pic>
      <xdr:nvPicPr>
        <xdr:cNvPr id="2" name="Picture 1" descr="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0000" b="36500"/>
        <a:stretch/>
      </xdr:blipFill>
      <xdr:spPr>
        <a:xfrm>
          <a:off x="123825" y="4800601"/>
          <a:ext cx="5915025" cy="847724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0</xdr:row>
      <xdr:rowOff>47626</xdr:rowOff>
    </xdr:from>
    <xdr:to>
      <xdr:col>3</xdr:col>
      <xdr:colOff>1009650</xdr:colOff>
      <xdr:row>4</xdr:row>
      <xdr:rowOff>133350</xdr:rowOff>
    </xdr:to>
    <xdr:pic>
      <xdr:nvPicPr>
        <xdr:cNvPr id="3" name="Picture 2" descr="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0000" b="36500"/>
        <a:stretch/>
      </xdr:blipFill>
      <xdr:spPr>
        <a:xfrm>
          <a:off x="123825" y="47626"/>
          <a:ext cx="5915025" cy="847724"/>
        </a:xfrm>
        <a:prstGeom prst="rect">
          <a:avLst/>
        </a:prstGeom>
      </xdr:spPr>
    </xdr:pic>
    <xdr:clientData/>
  </xdr:twoCellAnchor>
  <xdr:twoCellAnchor>
    <xdr:from>
      <xdr:col>2</xdr:col>
      <xdr:colOff>952500</xdr:colOff>
      <xdr:row>0</xdr:row>
      <xdr:rowOff>171451</xdr:rowOff>
    </xdr:from>
    <xdr:to>
      <xdr:col>3</xdr:col>
      <xdr:colOff>942975</xdr:colOff>
      <xdr:row>3</xdr:row>
      <xdr:rowOff>95251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/>
      </xdr:nvSpPr>
      <xdr:spPr>
        <a:xfrm>
          <a:off x="4438650" y="171451"/>
          <a:ext cx="1533525" cy="495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marL="0" marR="0" algn="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113B08"/>
              </a:solidFill>
              <a:effectLst/>
              <a:latin typeface="Anton"/>
              <a:ea typeface="Calibri"/>
              <a:cs typeface="Anton"/>
            </a:rPr>
            <a:t>PAYSLIP</a:t>
          </a:r>
          <a:endParaRPr lang="en-US" sz="1200">
            <a:solidFill>
              <a:srgbClr val="113B08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>
    <xdr:from>
      <xdr:col>2</xdr:col>
      <xdr:colOff>809625</xdr:colOff>
      <xdr:row>32</xdr:row>
      <xdr:rowOff>171451</xdr:rowOff>
    </xdr:from>
    <xdr:to>
      <xdr:col>3</xdr:col>
      <xdr:colOff>800100</xdr:colOff>
      <xdr:row>35</xdr:row>
      <xdr:rowOff>95251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 txBox="1"/>
      </xdr:nvSpPr>
      <xdr:spPr>
        <a:xfrm>
          <a:off x="4295775" y="4933951"/>
          <a:ext cx="1533525" cy="495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marL="0" marR="0" algn="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113B08"/>
              </a:solidFill>
              <a:effectLst/>
              <a:latin typeface="Anton"/>
              <a:ea typeface="Calibri"/>
              <a:cs typeface="Anton"/>
            </a:rPr>
            <a:t>PAYSLIP</a:t>
          </a:r>
          <a:endParaRPr lang="en-US" sz="1200">
            <a:solidFill>
              <a:srgbClr val="113B08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 editAs="oneCell">
    <xdr:from>
      <xdr:col>4</xdr:col>
      <xdr:colOff>123825</xdr:colOff>
      <xdr:row>32</xdr:row>
      <xdr:rowOff>38101</xdr:rowOff>
    </xdr:from>
    <xdr:to>
      <xdr:col>7</xdr:col>
      <xdr:colOff>1009650</xdr:colOff>
      <xdr:row>36</xdr:row>
      <xdr:rowOff>123825</xdr:rowOff>
    </xdr:to>
    <xdr:pic>
      <xdr:nvPicPr>
        <xdr:cNvPr id="6" name="Picture 5" descr="2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0000" b="36500"/>
        <a:stretch/>
      </xdr:blipFill>
      <xdr:spPr>
        <a:xfrm>
          <a:off x="6257925" y="4800601"/>
          <a:ext cx="5915025" cy="847724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0</xdr:row>
      <xdr:rowOff>47626</xdr:rowOff>
    </xdr:from>
    <xdr:to>
      <xdr:col>7</xdr:col>
      <xdr:colOff>1009650</xdr:colOff>
      <xdr:row>4</xdr:row>
      <xdr:rowOff>133350</xdr:rowOff>
    </xdr:to>
    <xdr:pic>
      <xdr:nvPicPr>
        <xdr:cNvPr id="7" name="Picture 6" descr="2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0000" b="36500"/>
        <a:stretch/>
      </xdr:blipFill>
      <xdr:spPr>
        <a:xfrm>
          <a:off x="6257925" y="47626"/>
          <a:ext cx="5915025" cy="847724"/>
        </a:xfrm>
        <a:prstGeom prst="rect">
          <a:avLst/>
        </a:prstGeom>
      </xdr:spPr>
    </xdr:pic>
    <xdr:clientData/>
  </xdr:twoCellAnchor>
  <xdr:twoCellAnchor>
    <xdr:from>
      <xdr:col>6</xdr:col>
      <xdr:colOff>952500</xdr:colOff>
      <xdr:row>0</xdr:row>
      <xdr:rowOff>171451</xdr:rowOff>
    </xdr:from>
    <xdr:to>
      <xdr:col>7</xdr:col>
      <xdr:colOff>942975</xdr:colOff>
      <xdr:row>3</xdr:row>
      <xdr:rowOff>95251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 txBox="1"/>
      </xdr:nvSpPr>
      <xdr:spPr>
        <a:xfrm>
          <a:off x="10572750" y="171451"/>
          <a:ext cx="1533525" cy="495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marL="0" marR="0" algn="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113B08"/>
              </a:solidFill>
              <a:effectLst/>
              <a:latin typeface="Anton"/>
              <a:ea typeface="Calibri"/>
              <a:cs typeface="Anton"/>
            </a:rPr>
            <a:t>PAYSLIP</a:t>
          </a:r>
          <a:endParaRPr lang="en-US" sz="1200">
            <a:solidFill>
              <a:srgbClr val="113B08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>
    <xdr:from>
      <xdr:col>6</xdr:col>
      <xdr:colOff>809625</xdr:colOff>
      <xdr:row>32</xdr:row>
      <xdr:rowOff>171451</xdr:rowOff>
    </xdr:from>
    <xdr:to>
      <xdr:col>7</xdr:col>
      <xdr:colOff>800100</xdr:colOff>
      <xdr:row>35</xdr:row>
      <xdr:rowOff>95251</xdr:rowOff>
    </xdr:to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 txBox="1"/>
      </xdr:nvSpPr>
      <xdr:spPr>
        <a:xfrm>
          <a:off x="10429875" y="4933951"/>
          <a:ext cx="1533525" cy="495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marL="0" marR="0" algn="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113B08"/>
              </a:solidFill>
              <a:effectLst/>
              <a:latin typeface="Anton"/>
              <a:ea typeface="Calibri"/>
              <a:cs typeface="Anton"/>
            </a:rPr>
            <a:t>PAYSLIP</a:t>
          </a:r>
          <a:endParaRPr lang="en-US" sz="1200">
            <a:solidFill>
              <a:srgbClr val="113B08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 editAs="oneCell">
    <xdr:from>
      <xdr:col>0</xdr:col>
      <xdr:colOff>123825</xdr:colOff>
      <xdr:row>94</xdr:row>
      <xdr:rowOff>38101</xdr:rowOff>
    </xdr:from>
    <xdr:to>
      <xdr:col>3</xdr:col>
      <xdr:colOff>1009650</xdr:colOff>
      <xdr:row>98</xdr:row>
      <xdr:rowOff>123825</xdr:rowOff>
    </xdr:to>
    <xdr:pic>
      <xdr:nvPicPr>
        <xdr:cNvPr id="10" name="Picture 9" descr="2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0000" b="36500"/>
        <a:stretch/>
      </xdr:blipFill>
      <xdr:spPr>
        <a:xfrm>
          <a:off x="123825" y="14516101"/>
          <a:ext cx="5915025" cy="847724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62</xdr:row>
      <xdr:rowOff>47626</xdr:rowOff>
    </xdr:from>
    <xdr:to>
      <xdr:col>3</xdr:col>
      <xdr:colOff>1009650</xdr:colOff>
      <xdr:row>66</xdr:row>
      <xdr:rowOff>133350</xdr:rowOff>
    </xdr:to>
    <xdr:pic>
      <xdr:nvPicPr>
        <xdr:cNvPr id="11" name="Picture 10" descr="2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0000" b="36500"/>
        <a:stretch/>
      </xdr:blipFill>
      <xdr:spPr>
        <a:xfrm>
          <a:off x="123825" y="9763126"/>
          <a:ext cx="5915025" cy="847724"/>
        </a:xfrm>
        <a:prstGeom prst="rect">
          <a:avLst/>
        </a:prstGeom>
      </xdr:spPr>
    </xdr:pic>
    <xdr:clientData/>
  </xdr:twoCellAnchor>
  <xdr:twoCellAnchor>
    <xdr:from>
      <xdr:col>2</xdr:col>
      <xdr:colOff>952500</xdr:colOff>
      <xdr:row>62</xdr:row>
      <xdr:rowOff>171451</xdr:rowOff>
    </xdr:from>
    <xdr:to>
      <xdr:col>3</xdr:col>
      <xdr:colOff>942975</xdr:colOff>
      <xdr:row>65</xdr:row>
      <xdr:rowOff>95251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 txBox="1"/>
      </xdr:nvSpPr>
      <xdr:spPr>
        <a:xfrm>
          <a:off x="4438650" y="9886951"/>
          <a:ext cx="1533525" cy="495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marL="0" marR="0" algn="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113B08"/>
              </a:solidFill>
              <a:effectLst/>
              <a:latin typeface="Anton"/>
              <a:ea typeface="Calibri"/>
              <a:cs typeface="Anton"/>
            </a:rPr>
            <a:t>PAYSLIP</a:t>
          </a:r>
          <a:endParaRPr lang="en-US" sz="1200">
            <a:solidFill>
              <a:srgbClr val="113B08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>
    <xdr:from>
      <xdr:col>2</xdr:col>
      <xdr:colOff>809625</xdr:colOff>
      <xdr:row>94</xdr:row>
      <xdr:rowOff>171451</xdr:rowOff>
    </xdr:from>
    <xdr:to>
      <xdr:col>3</xdr:col>
      <xdr:colOff>800100</xdr:colOff>
      <xdr:row>97</xdr:row>
      <xdr:rowOff>95251</xdr:rowOff>
    </xdr:to>
    <xdr:sp macro="" textlink="">
      <xdr:nvSpPr>
        <xdr:cNvPr id="13" name="Text Box 1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 txBox="1"/>
      </xdr:nvSpPr>
      <xdr:spPr>
        <a:xfrm>
          <a:off x="4295775" y="14649451"/>
          <a:ext cx="1533525" cy="495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marL="0" marR="0" algn="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113B08"/>
              </a:solidFill>
              <a:effectLst/>
              <a:latin typeface="Anton"/>
              <a:ea typeface="Calibri"/>
              <a:cs typeface="Anton"/>
            </a:rPr>
            <a:t>PAYSLIP</a:t>
          </a:r>
          <a:endParaRPr lang="en-US" sz="1200">
            <a:solidFill>
              <a:srgbClr val="113B08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 editAs="oneCell">
    <xdr:from>
      <xdr:col>4</xdr:col>
      <xdr:colOff>123825</xdr:colOff>
      <xdr:row>62</xdr:row>
      <xdr:rowOff>38101</xdr:rowOff>
    </xdr:from>
    <xdr:to>
      <xdr:col>7</xdr:col>
      <xdr:colOff>1009650</xdr:colOff>
      <xdr:row>66</xdr:row>
      <xdr:rowOff>123825</xdr:rowOff>
    </xdr:to>
    <xdr:pic>
      <xdr:nvPicPr>
        <xdr:cNvPr id="14" name="Picture 13" descr="2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0000" b="36500"/>
        <a:stretch/>
      </xdr:blipFill>
      <xdr:spPr>
        <a:xfrm>
          <a:off x="6257925" y="14516101"/>
          <a:ext cx="5915025" cy="847724"/>
        </a:xfrm>
        <a:prstGeom prst="rect">
          <a:avLst/>
        </a:prstGeom>
      </xdr:spPr>
    </xdr:pic>
    <xdr:clientData/>
  </xdr:twoCellAnchor>
  <xdr:twoCellAnchor>
    <xdr:from>
      <xdr:col>6</xdr:col>
      <xdr:colOff>809625</xdr:colOff>
      <xdr:row>62</xdr:row>
      <xdr:rowOff>171451</xdr:rowOff>
    </xdr:from>
    <xdr:to>
      <xdr:col>7</xdr:col>
      <xdr:colOff>800100</xdr:colOff>
      <xdr:row>65</xdr:row>
      <xdr:rowOff>95251</xdr:rowOff>
    </xdr:to>
    <xdr:sp macro="" textlink="">
      <xdr:nvSpPr>
        <xdr:cNvPr id="17" name="Text Box 1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 txBox="1"/>
      </xdr:nvSpPr>
      <xdr:spPr>
        <a:xfrm>
          <a:off x="10429875" y="14649451"/>
          <a:ext cx="1533525" cy="495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marL="0" marR="0" algn="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113B08"/>
              </a:solidFill>
              <a:effectLst/>
              <a:latin typeface="Anton"/>
              <a:ea typeface="Calibri"/>
              <a:cs typeface="Anton"/>
            </a:rPr>
            <a:t>PAYSLIP</a:t>
          </a:r>
          <a:endParaRPr lang="en-US" sz="1200">
            <a:solidFill>
              <a:srgbClr val="113B08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 editAs="oneCell">
    <xdr:from>
      <xdr:col>0</xdr:col>
      <xdr:colOff>123825</xdr:colOff>
      <xdr:row>124</xdr:row>
      <xdr:rowOff>38101</xdr:rowOff>
    </xdr:from>
    <xdr:to>
      <xdr:col>3</xdr:col>
      <xdr:colOff>1009650</xdr:colOff>
      <xdr:row>128</xdr:row>
      <xdr:rowOff>123825</xdr:rowOff>
    </xdr:to>
    <xdr:pic>
      <xdr:nvPicPr>
        <xdr:cNvPr id="18" name="Picture 17" descr="2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0000" b="36500"/>
        <a:stretch/>
      </xdr:blipFill>
      <xdr:spPr>
        <a:xfrm>
          <a:off x="123825" y="19469101"/>
          <a:ext cx="5915025" cy="847724"/>
        </a:xfrm>
        <a:prstGeom prst="rect">
          <a:avLst/>
        </a:prstGeom>
      </xdr:spPr>
    </xdr:pic>
    <xdr:clientData/>
  </xdr:twoCellAnchor>
  <xdr:twoCellAnchor>
    <xdr:from>
      <xdr:col>2</xdr:col>
      <xdr:colOff>809625</xdr:colOff>
      <xdr:row>124</xdr:row>
      <xdr:rowOff>171451</xdr:rowOff>
    </xdr:from>
    <xdr:to>
      <xdr:col>3</xdr:col>
      <xdr:colOff>800100</xdr:colOff>
      <xdr:row>127</xdr:row>
      <xdr:rowOff>95251</xdr:rowOff>
    </xdr:to>
    <xdr:sp macro="" textlink="">
      <xdr:nvSpPr>
        <xdr:cNvPr id="19" name="Text Box 1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 txBox="1"/>
      </xdr:nvSpPr>
      <xdr:spPr>
        <a:xfrm>
          <a:off x="4295775" y="19602451"/>
          <a:ext cx="1533525" cy="495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marL="0" marR="0" algn="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113B08"/>
              </a:solidFill>
              <a:effectLst/>
              <a:latin typeface="Anton"/>
              <a:ea typeface="Calibri"/>
              <a:cs typeface="Anton"/>
            </a:rPr>
            <a:t>PAYSLIP</a:t>
          </a:r>
          <a:endParaRPr lang="en-US" sz="1200">
            <a:solidFill>
              <a:srgbClr val="113B08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 editAs="oneCell">
    <xdr:from>
      <xdr:col>4</xdr:col>
      <xdr:colOff>123825</xdr:colOff>
      <xdr:row>124</xdr:row>
      <xdr:rowOff>38101</xdr:rowOff>
    </xdr:from>
    <xdr:to>
      <xdr:col>7</xdr:col>
      <xdr:colOff>1009650</xdr:colOff>
      <xdr:row>128</xdr:row>
      <xdr:rowOff>123825</xdr:rowOff>
    </xdr:to>
    <xdr:pic>
      <xdr:nvPicPr>
        <xdr:cNvPr id="24" name="Picture 23" descr="2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0000" b="36500"/>
        <a:stretch/>
      </xdr:blipFill>
      <xdr:spPr>
        <a:xfrm>
          <a:off x="123825" y="29184601"/>
          <a:ext cx="5943600" cy="847724"/>
        </a:xfrm>
        <a:prstGeom prst="rect">
          <a:avLst/>
        </a:prstGeom>
      </xdr:spPr>
    </xdr:pic>
    <xdr:clientData/>
  </xdr:twoCellAnchor>
  <xdr:twoCellAnchor>
    <xdr:from>
      <xdr:col>6</xdr:col>
      <xdr:colOff>809625</xdr:colOff>
      <xdr:row>124</xdr:row>
      <xdr:rowOff>171451</xdr:rowOff>
    </xdr:from>
    <xdr:to>
      <xdr:col>7</xdr:col>
      <xdr:colOff>800100</xdr:colOff>
      <xdr:row>127</xdr:row>
      <xdr:rowOff>95251</xdr:rowOff>
    </xdr:to>
    <xdr:sp macro="" textlink="">
      <xdr:nvSpPr>
        <xdr:cNvPr id="25" name="Text Box 1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SpPr txBox="1"/>
      </xdr:nvSpPr>
      <xdr:spPr>
        <a:xfrm>
          <a:off x="4295775" y="19602451"/>
          <a:ext cx="1533525" cy="495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marL="0" marR="0" algn="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113B08"/>
              </a:solidFill>
              <a:effectLst/>
              <a:latin typeface="Anton"/>
              <a:ea typeface="Calibri"/>
              <a:cs typeface="Anton"/>
            </a:rPr>
            <a:t>PAYSLIP</a:t>
          </a:r>
          <a:endParaRPr lang="en-US" sz="1200">
            <a:solidFill>
              <a:srgbClr val="113B08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 editAs="oneCell">
    <xdr:from>
      <xdr:col>4</xdr:col>
      <xdr:colOff>123825</xdr:colOff>
      <xdr:row>94</xdr:row>
      <xdr:rowOff>47626</xdr:rowOff>
    </xdr:from>
    <xdr:to>
      <xdr:col>7</xdr:col>
      <xdr:colOff>1009650</xdr:colOff>
      <xdr:row>98</xdr:row>
      <xdr:rowOff>133350</xdr:rowOff>
    </xdr:to>
    <xdr:pic>
      <xdr:nvPicPr>
        <xdr:cNvPr id="31" name="Picture 30" descr="2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0000" b="36500"/>
        <a:stretch/>
      </xdr:blipFill>
      <xdr:spPr>
        <a:xfrm>
          <a:off x="123825" y="47626"/>
          <a:ext cx="5943600" cy="847724"/>
        </a:xfrm>
        <a:prstGeom prst="rect">
          <a:avLst/>
        </a:prstGeom>
      </xdr:spPr>
    </xdr:pic>
    <xdr:clientData/>
  </xdr:twoCellAnchor>
  <xdr:twoCellAnchor>
    <xdr:from>
      <xdr:col>6</xdr:col>
      <xdr:colOff>952500</xdr:colOff>
      <xdr:row>94</xdr:row>
      <xdr:rowOff>171451</xdr:rowOff>
    </xdr:from>
    <xdr:to>
      <xdr:col>7</xdr:col>
      <xdr:colOff>942975</xdr:colOff>
      <xdr:row>97</xdr:row>
      <xdr:rowOff>95251</xdr:rowOff>
    </xdr:to>
    <xdr:sp macro="" textlink="">
      <xdr:nvSpPr>
        <xdr:cNvPr id="32" name="Text Box 1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SpPr txBox="1"/>
      </xdr:nvSpPr>
      <xdr:spPr>
        <a:xfrm>
          <a:off x="4457700" y="171451"/>
          <a:ext cx="1543050" cy="495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marL="0" marR="0" algn="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113B08"/>
              </a:solidFill>
              <a:effectLst/>
              <a:latin typeface="Anton"/>
              <a:ea typeface="Calibri"/>
              <a:cs typeface="Anton"/>
            </a:rPr>
            <a:t>PAYSLIP</a:t>
          </a:r>
          <a:endParaRPr lang="en-US" sz="1200">
            <a:solidFill>
              <a:srgbClr val="113B08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 editAs="oneCell">
    <xdr:from>
      <xdr:col>0</xdr:col>
      <xdr:colOff>123825</xdr:colOff>
      <xdr:row>218</xdr:row>
      <xdr:rowOff>47626</xdr:rowOff>
    </xdr:from>
    <xdr:to>
      <xdr:col>3</xdr:col>
      <xdr:colOff>1009650</xdr:colOff>
      <xdr:row>222</xdr:row>
      <xdr:rowOff>133350</xdr:rowOff>
    </xdr:to>
    <xdr:pic>
      <xdr:nvPicPr>
        <xdr:cNvPr id="36" name="Picture 35" descr="2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0000" b="36500"/>
        <a:stretch/>
      </xdr:blipFill>
      <xdr:spPr>
        <a:xfrm>
          <a:off x="123825" y="38909626"/>
          <a:ext cx="5943600" cy="847724"/>
        </a:xfrm>
        <a:prstGeom prst="rect">
          <a:avLst/>
        </a:prstGeom>
      </xdr:spPr>
    </xdr:pic>
    <xdr:clientData/>
  </xdr:twoCellAnchor>
  <xdr:twoCellAnchor>
    <xdr:from>
      <xdr:col>2</xdr:col>
      <xdr:colOff>809625</xdr:colOff>
      <xdr:row>218</xdr:row>
      <xdr:rowOff>171451</xdr:rowOff>
    </xdr:from>
    <xdr:to>
      <xdr:col>3</xdr:col>
      <xdr:colOff>800100</xdr:colOff>
      <xdr:row>221</xdr:row>
      <xdr:rowOff>95251</xdr:rowOff>
    </xdr:to>
    <xdr:sp macro="" textlink="">
      <xdr:nvSpPr>
        <xdr:cNvPr id="37" name="Text Box 1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 txBox="1"/>
      </xdr:nvSpPr>
      <xdr:spPr>
        <a:xfrm>
          <a:off x="4314825" y="38271451"/>
          <a:ext cx="1543050" cy="495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marL="0" marR="0" algn="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113B08"/>
              </a:solidFill>
              <a:effectLst/>
              <a:latin typeface="Anton"/>
              <a:ea typeface="Calibri"/>
              <a:cs typeface="Anton"/>
            </a:rPr>
            <a:t>PAYSLIP</a:t>
          </a:r>
          <a:endParaRPr lang="en-US" sz="1200">
            <a:solidFill>
              <a:srgbClr val="113B08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 editAs="oneCell">
    <xdr:from>
      <xdr:col>4</xdr:col>
      <xdr:colOff>123825</xdr:colOff>
      <xdr:row>156</xdr:row>
      <xdr:rowOff>38100</xdr:rowOff>
    </xdr:from>
    <xdr:to>
      <xdr:col>7</xdr:col>
      <xdr:colOff>1009650</xdr:colOff>
      <xdr:row>160</xdr:row>
      <xdr:rowOff>123824</xdr:rowOff>
    </xdr:to>
    <xdr:pic>
      <xdr:nvPicPr>
        <xdr:cNvPr id="38" name="Picture 37" descr="2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0000" b="36500"/>
        <a:stretch/>
      </xdr:blipFill>
      <xdr:spPr>
        <a:xfrm>
          <a:off x="123825" y="43662600"/>
          <a:ext cx="5943600" cy="847724"/>
        </a:xfrm>
        <a:prstGeom prst="rect">
          <a:avLst/>
        </a:prstGeom>
      </xdr:spPr>
    </xdr:pic>
    <xdr:clientData/>
  </xdr:twoCellAnchor>
  <xdr:twoCellAnchor>
    <xdr:from>
      <xdr:col>6</xdr:col>
      <xdr:colOff>809625</xdr:colOff>
      <xdr:row>156</xdr:row>
      <xdr:rowOff>171451</xdr:rowOff>
    </xdr:from>
    <xdr:to>
      <xdr:col>7</xdr:col>
      <xdr:colOff>800100</xdr:colOff>
      <xdr:row>159</xdr:row>
      <xdr:rowOff>95251</xdr:rowOff>
    </xdr:to>
    <xdr:sp macro="" textlink="">
      <xdr:nvSpPr>
        <xdr:cNvPr id="40" name="Text Box 1"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SpPr txBox="1"/>
      </xdr:nvSpPr>
      <xdr:spPr>
        <a:xfrm>
          <a:off x="4314825" y="39033451"/>
          <a:ext cx="1543050" cy="495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marL="0" marR="0" algn="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113B08"/>
              </a:solidFill>
              <a:effectLst/>
              <a:latin typeface="Anton"/>
              <a:ea typeface="Calibri"/>
              <a:cs typeface="Anton"/>
            </a:rPr>
            <a:t>PAYSLIP</a:t>
          </a:r>
          <a:endParaRPr lang="en-US" sz="1200">
            <a:solidFill>
              <a:srgbClr val="113B08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 editAs="oneCell">
    <xdr:from>
      <xdr:col>0</xdr:col>
      <xdr:colOff>114300</xdr:colOff>
      <xdr:row>156</xdr:row>
      <xdr:rowOff>38100</xdr:rowOff>
    </xdr:from>
    <xdr:to>
      <xdr:col>3</xdr:col>
      <xdr:colOff>1000125</xdr:colOff>
      <xdr:row>160</xdr:row>
      <xdr:rowOff>123824</xdr:rowOff>
    </xdr:to>
    <xdr:pic>
      <xdr:nvPicPr>
        <xdr:cNvPr id="41" name="Picture 40" descr="2"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0000" b="36500"/>
        <a:stretch/>
      </xdr:blipFill>
      <xdr:spPr>
        <a:xfrm>
          <a:off x="6276975" y="33947100"/>
          <a:ext cx="5943600" cy="847724"/>
        </a:xfrm>
        <a:prstGeom prst="rect">
          <a:avLst/>
        </a:prstGeom>
      </xdr:spPr>
    </xdr:pic>
    <xdr:clientData/>
  </xdr:twoCellAnchor>
  <xdr:twoCellAnchor>
    <xdr:from>
      <xdr:col>2</xdr:col>
      <xdr:colOff>809625</xdr:colOff>
      <xdr:row>156</xdr:row>
      <xdr:rowOff>171451</xdr:rowOff>
    </xdr:from>
    <xdr:to>
      <xdr:col>3</xdr:col>
      <xdr:colOff>800100</xdr:colOff>
      <xdr:row>159</xdr:row>
      <xdr:rowOff>95251</xdr:rowOff>
    </xdr:to>
    <xdr:sp macro="" textlink="">
      <xdr:nvSpPr>
        <xdr:cNvPr id="42" name="Text Box 1">
          <a:extLst>
            <a:ext uri="{FF2B5EF4-FFF2-40B4-BE49-F238E27FC236}">
              <a16:creationId xmlns:a16="http://schemas.microsoft.com/office/drawing/2014/main" id="{00000000-0008-0000-0B00-00002A000000}"/>
            </a:ext>
          </a:extLst>
        </xdr:cNvPr>
        <xdr:cNvSpPr txBox="1"/>
      </xdr:nvSpPr>
      <xdr:spPr>
        <a:xfrm>
          <a:off x="4314825" y="43033951"/>
          <a:ext cx="1543050" cy="495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marL="0" marR="0" algn="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113B08"/>
              </a:solidFill>
              <a:effectLst/>
              <a:latin typeface="Anton"/>
              <a:ea typeface="Calibri"/>
              <a:cs typeface="Anton"/>
            </a:rPr>
            <a:t>PAYSLIP</a:t>
          </a:r>
          <a:endParaRPr lang="en-US" sz="1200">
            <a:solidFill>
              <a:srgbClr val="113B08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 editAs="oneCell">
    <xdr:from>
      <xdr:col>0</xdr:col>
      <xdr:colOff>209550</xdr:colOff>
      <xdr:row>24</xdr:row>
      <xdr:rowOff>123825</xdr:rowOff>
    </xdr:from>
    <xdr:to>
      <xdr:col>0</xdr:col>
      <xdr:colOff>1075295</xdr:colOff>
      <xdr:row>27</xdr:row>
      <xdr:rowOff>95250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4505325"/>
          <a:ext cx="865745" cy="54292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24</xdr:row>
      <xdr:rowOff>66675</xdr:rowOff>
    </xdr:from>
    <xdr:to>
      <xdr:col>2</xdr:col>
      <xdr:colOff>1327621</xdr:colOff>
      <xdr:row>27</xdr:row>
      <xdr:rowOff>171449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1225" y="4448175"/>
          <a:ext cx="1194271" cy="676274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209550</xdr:colOff>
      <xdr:row>24</xdr:row>
      <xdr:rowOff>123825</xdr:rowOff>
    </xdr:from>
    <xdr:to>
      <xdr:col>4</xdr:col>
      <xdr:colOff>1075295</xdr:colOff>
      <xdr:row>27</xdr:row>
      <xdr:rowOff>95250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4505325"/>
          <a:ext cx="865745" cy="542925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24</xdr:row>
      <xdr:rowOff>66675</xdr:rowOff>
    </xdr:from>
    <xdr:to>
      <xdr:col>6</xdr:col>
      <xdr:colOff>1327621</xdr:colOff>
      <xdr:row>27</xdr:row>
      <xdr:rowOff>171449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1225" y="4448175"/>
          <a:ext cx="1194271" cy="676274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56</xdr:row>
      <xdr:rowOff>123825</xdr:rowOff>
    </xdr:from>
    <xdr:to>
      <xdr:col>0</xdr:col>
      <xdr:colOff>1075295</xdr:colOff>
      <xdr:row>59</xdr:row>
      <xdr:rowOff>95250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4505325"/>
          <a:ext cx="865745" cy="54292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56</xdr:row>
      <xdr:rowOff>66675</xdr:rowOff>
    </xdr:from>
    <xdr:to>
      <xdr:col>2</xdr:col>
      <xdr:colOff>1327621</xdr:colOff>
      <xdr:row>59</xdr:row>
      <xdr:rowOff>171449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1225" y="4448175"/>
          <a:ext cx="1194271" cy="676274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209550</xdr:colOff>
      <xdr:row>56</xdr:row>
      <xdr:rowOff>123825</xdr:rowOff>
    </xdr:from>
    <xdr:to>
      <xdr:col>4</xdr:col>
      <xdr:colOff>1075295</xdr:colOff>
      <xdr:row>59</xdr:row>
      <xdr:rowOff>95250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B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4505325"/>
          <a:ext cx="865745" cy="542925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56</xdr:row>
      <xdr:rowOff>66675</xdr:rowOff>
    </xdr:from>
    <xdr:to>
      <xdr:col>6</xdr:col>
      <xdr:colOff>1327621</xdr:colOff>
      <xdr:row>59</xdr:row>
      <xdr:rowOff>171449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B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1225" y="4448175"/>
          <a:ext cx="1194271" cy="676274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86</xdr:row>
      <xdr:rowOff>123825</xdr:rowOff>
    </xdr:from>
    <xdr:to>
      <xdr:col>0</xdr:col>
      <xdr:colOff>1075295</xdr:colOff>
      <xdr:row>89</xdr:row>
      <xdr:rowOff>95250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B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4505325"/>
          <a:ext cx="865745" cy="54292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86</xdr:row>
      <xdr:rowOff>66675</xdr:rowOff>
    </xdr:from>
    <xdr:to>
      <xdr:col>2</xdr:col>
      <xdr:colOff>1327621</xdr:colOff>
      <xdr:row>89</xdr:row>
      <xdr:rowOff>171449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B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1225" y="4448175"/>
          <a:ext cx="1194271" cy="676274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209550</xdr:colOff>
      <xdr:row>86</xdr:row>
      <xdr:rowOff>123825</xdr:rowOff>
    </xdr:from>
    <xdr:to>
      <xdr:col>4</xdr:col>
      <xdr:colOff>1075295</xdr:colOff>
      <xdr:row>89</xdr:row>
      <xdr:rowOff>95250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4505325"/>
          <a:ext cx="865745" cy="542925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86</xdr:row>
      <xdr:rowOff>66675</xdr:rowOff>
    </xdr:from>
    <xdr:to>
      <xdr:col>6</xdr:col>
      <xdr:colOff>1327621</xdr:colOff>
      <xdr:row>89</xdr:row>
      <xdr:rowOff>171449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B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1225" y="4448175"/>
          <a:ext cx="1194271" cy="676274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118</xdr:row>
      <xdr:rowOff>123825</xdr:rowOff>
    </xdr:from>
    <xdr:to>
      <xdr:col>0</xdr:col>
      <xdr:colOff>1075295</xdr:colOff>
      <xdr:row>121</xdr:row>
      <xdr:rowOff>95250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B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4505325"/>
          <a:ext cx="865745" cy="54292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118</xdr:row>
      <xdr:rowOff>66675</xdr:rowOff>
    </xdr:from>
    <xdr:to>
      <xdr:col>2</xdr:col>
      <xdr:colOff>1327621</xdr:colOff>
      <xdr:row>121</xdr:row>
      <xdr:rowOff>171449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B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1225" y="4448175"/>
          <a:ext cx="1194271" cy="676274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209550</xdr:colOff>
      <xdr:row>118</xdr:row>
      <xdr:rowOff>123825</xdr:rowOff>
    </xdr:from>
    <xdr:to>
      <xdr:col>4</xdr:col>
      <xdr:colOff>1075295</xdr:colOff>
      <xdr:row>121</xdr:row>
      <xdr:rowOff>95250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B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4505325"/>
          <a:ext cx="865745" cy="542925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118</xdr:row>
      <xdr:rowOff>66675</xdr:rowOff>
    </xdr:from>
    <xdr:to>
      <xdr:col>6</xdr:col>
      <xdr:colOff>1327621</xdr:colOff>
      <xdr:row>121</xdr:row>
      <xdr:rowOff>171449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B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1225" y="4448175"/>
          <a:ext cx="1194271" cy="676274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148</xdr:row>
      <xdr:rowOff>123825</xdr:rowOff>
    </xdr:from>
    <xdr:to>
      <xdr:col>0</xdr:col>
      <xdr:colOff>1075295</xdr:colOff>
      <xdr:row>151</xdr:row>
      <xdr:rowOff>95250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4505325"/>
          <a:ext cx="865745" cy="54292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148</xdr:row>
      <xdr:rowOff>66675</xdr:rowOff>
    </xdr:from>
    <xdr:to>
      <xdr:col>2</xdr:col>
      <xdr:colOff>1327621</xdr:colOff>
      <xdr:row>151</xdr:row>
      <xdr:rowOff>171449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B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1225" y="4448175"/>
          <a:ext cx="1194271" cy="676274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209550</xdr:colOff>
      <xdr:row>148</xdr:row>
      <xdr:rowOff>123825</xdr:rowOff>
    </xdr:from>
    <xdr:to>
      <xdr:col>4</xdr:col>
      <xdr:colOff>1075295</xdr:colOff>
      <xdr:row>151</xdr:row>
      <xdr:rowOff>95250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B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4505325"/>
          <a:ext cx="865745" cy="542925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148</xdr:row>
      <xdr:rowOff>66675</xdr:rowOff>
    </xdr:from>
    <xdr:to>
      <xdr:col>6</xdr:col>
      <xdr:colOff>1327621</xdr:colOff>
      <xdr:row>151</xdr:row>
      <xdr:rowOff>171449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B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1225" y="4448175"/>
          <a:ext cx="1194271" cy="676274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180</xdr:row>
      <xdr:rowOff>123825</xdr:rowOff>
    </xdr:from>
    <xdr:to>
      <xdr:col>0</xdr:col>
      <xdr:colOff>1075295</xdr:colOff>
      <xdr:row>183</xdr:row>
      <xdr:rowOff>95250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B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4505325"/>
          <a:ext cx="865745" cy="54292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180</xdr:row>
      <xdr:rowOff>66675</xdr:rowOff>
    </xdr:from>
    <xdr:to>
      <xdr:col>2</xdr:col>
      <xdr:colOff>1327621</xdr:colOff>
      <xdr:row>183</xdr:row>
      <xdr:rowOff>171449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B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1225" y="4448175"/>
          <a:ext cx="1194271" cy="676274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209550</xdr:colOff>
      <xdr:row>180</xdr:row>
      <xdr:rowOff>123825</xdr:rowOff>
    </xdr:from>
    <xdr:to>
      <xdr:col>4</xdr:col>
      <xdr:colOff>1075295</xdr:colOff>
      <xdr:row>183</xdr:row>
      <xdr:rowOff>95250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B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4505325"/>
          <a:ext cx="865745" cy="542925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180</xdr:row>
      <xdr:rowOff>66675</xdr:rowOff>
    </xdr:from>
    <xdr:to>
      <xdr:col>6</xdr:col>
      <xdr:colOff>1327621</xdr:colOff>
      <xdr:row>183</xdr:row>
      <xdr:rowOff>171449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1225" y="4448175"/>
          <a:ext cx="1194271" cy="6762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210</xdr:row>
      <xdr:rowOff>123825</xdr:rowOff>
    </xdr:from>
    <xdr:to>
      <xdr:col>0</xdr:col>
      <xdr:colOff>865745</xdr:colOff>
      <xdr:row>213</xdr:row>
      <xdr:rowOff>95250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B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2225" y="4505325"/>
          <a:ext cx="865745" cy="542925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243</xdr:row>
      <xdr:rowOff>123825</xdr:rowOff>
    </xdr:from>
    <xdr:to>
      <xdr:col>0</xdr:col>
      <xdr:colOff>1075295</xdr:colOff>
      <xdr:row>246</xdr:row>
      <xdr:rowOff>95250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B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40128825"/>
          <a:ext cx="865745" cy="542925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243</xdr:row>
      <xdr:rowOff>66675</xdr:rowOff>
    </xdr:from>
    <xdr:to>
      <xdr:col>2</xdr:col>
      <xdr:colOff>1327621</xdr:colOff>
      <xdr:row>246</xdr:row>
      <xdr:rowOff>171449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B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0" y="40071675"/>
          <a:ext cx="1194271" cy="676274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186</xdr:row>
      <xdr:rowOff>38100</xdr:rowOff>
    </xdr:from>
    <xdr:to>
      <xdr:col>3</xdr:col>
      <xdr:colOff>1000125</xdr:colOff>
      <xdr:row>190</xdr:row>
      <xdr:rowOff>123824</xdr:rowOff>
    </xdr:to>
    <xdr:pic>
      <xdr:nvPicPr>
        <xdr:cNvPr id="68" name="Picture 67" descr="2">
          <a:extLst>
            <a:ext uri="{FF2B5EF4-FFF2-40B4-BE49-F238E27FC236}">
              <a16:creationId xmlns:a16="http://schemas.microsoft.com/office/drawing/2014/main" id="{00000000-0008-0000-0B00-000044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0000" b="36500"/>
        <a:stretch/>
      </xdr:blipFill>
      <xdr:spPr>
        <a:xfrm>
          <a:off x="114300" y="35471100"/>
          <a:ext cx="5915025" cy="847724"/>
        </a:xfrm>
        <a:prstGeom prst="rect">
          <a:avLst/>
        </a:prstGeom>
      </xdr:spPr>
    </xdr:pic>
    <xdr:clientData/>
  </xdr:twoCellAnchor>
  <xdr:twoCellAnchor>
    <xdr:from>
      <xdr:col>2</xdr:col>
      <xdr:colOff>809625</xdr:colOff>
      <xdr:row>186</xdr:row>
      <xdr:rowOff>171451</xdr:rowOff>
    </xdr:from>
    <xdr:to>
      <xdr:col>3</xdr:col>
      <xdr:colOff>800100</xdr:colOff>
      <xdr:row>189</xdr:row>
      <xdr:rowOff>95251</xdr:rowOff>
    </xdr:to>
    <xdr:sp macro="" textlink="">
      <xdr:nvSpPr>
        <xdr:cNvPr id="69" name="Text Box 1">
          <a:extLst>
            <a:ext uri="{FF2B5EF4-FFF2-40B4-BE49-F238E27FC236}">
              <a16:creationId xmlns:a16="http://schemas.microsoft.com/office/drawing/2014/main" id="{00000000-0008-0000-0B00-000045000000}"/>
            </a:ext>
          </a:extLst>
        </xdr:cNvPr>
        <xdr:cNvSpPr txBox="1"/>
      </xdr:nvSpPr>
      <xdr:spPr>
        <a:xfrm>
          <a:off x="4314825" y="29889451"/>
          <a:ext cx="1543050" cy="495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marL="0" marR="0" algn="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113B08"/>
              </a:solidFill>
              <a:effectLst/>
              <a:latin typeface="Anton"/>
              <a:ea typeface="Calibri"/>
              <a:cs typeface="Anton"/>
            </a:rPr>
            <a:t>PAYSLIP</a:t>
          </a:r>
          <a:endParaRPr lang="en-US" sz="1200">
            <a:solidFill>
              <a:srgbClr val="113B08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 editAs="oneCell">
    <xdr:from>
      <xdr:col>2</xdr:col>
      <xdr:colOff>133350</xdr:colOff>
      <xdr:row>210</xdr:row>
      <xdr:rowOff>66675</xdr:rowOff>
    </xdr:from>
    <xdr:to>
      <xdr:col>2</xdr:col>
      <xdr:colOff>1327621</xdr:colOff>
      <xdr:row>213</xdr:row>
      <xdr:rowOff>171449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B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0" y="34356675"/>
          <a:ext cx="1194271" cy="676274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186</xdr:row>
      <xdr:rowOff>38100</xdr:rowOff>
    </xdr:from>
    <xdr:to>
      <xdr:col>7</xdr:col>
      <xdr:colOff>1000125</xdr:colOff>
      <xdr:row>190</xdr:row>
      <xdr:rowOff>123824</xdr:rowOff>
    </xdr:to>
    <xdr:pic>
      <xdr:nvPicPr>
        <xdr:cNvPr id="72" name="Picture 71" descr="2">
          <a:extLst>
            <a:ext uri="{FF2B5EF4-FFF2-40B4-BE49-F238E27FC236}">
              <a16:creationId xmlns:a16="http://schemas.microsoft.com/office/drawing/2014/main" id="{00000000-0008-0000-0B00-000048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0000" b="36500"/>
        <a:stretch/>
      </xdr:blipFill>
      <xdr:spPr>
        <a:xfrm>
          <a:off x="114300" y="29756100"/>
          <a:ext cx="5943600" cy="847724"/>
        </a:xfrm>
        <a:prstGeom prst="rect">
          <a:avLst/>
        </a:prstGeom>
      </xdr:spPr>
    </xdr:pic>
    <xdr:clientData/>
  </xdr:twoCellAnchor>
  <xdr:twoCellAnchor>
    <xdr:from>
      <xdr:col>6</xdr:col>
      <xdr:colOff>809625</xdr:colOff>
      <xdr:row>186</xdr:row>
      <xdr:rowOff>171451</xdr:rowOff>
    </xdr:from>
    <xdr:to>
      <xdr:col>7</xdr:col>
      <xdr:colOff>800100</xdr:colOff>
      <xdr:row>189</xdr:row>
      <xdr:rowOff>95251</xdr:rowOff>
    </xdr:to>
    <xdr:sp macro="" textlink="">
      <xdr:nvSpPr>
        <xdr:cNvPr id="73" name="Text Box 1">
          <a:extLst>
            <a:ext uri="{FF2B5EF4-FFF2-40B4-BE49-F238E27FC236}">
              <a16:creationId xmlns:a16="http://schemas.microsoft.com/office/drawing/2014/main" id="{00000000-0008-0000-0B00-000049000000}"/>
            </a:ext>
          </a:extLst>
        </xdr:cNvPr>
        <xdr:cNvSpPr txBox="1"/>
      </xdr:nvSpPr>
      <xdr:spPr>
        <a:xfrm>
          <a:off x="4314825" y="29889451"/>
          <a:ext cx="1543050" cy="495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marL="0" marR="0" algn="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113B08"/>
              </a:solidFill>
              <a:effectLst/>
              <a:latin typeface="Anton"/>
              <a:ea typeface="Calibri"/>
              <a:cs typeface="Anton"/>
            </a:rPr>
            <a:t>PAYSLIP</a:t>
          </a:r>
          <a:endParaRPr lang="en-US" sz="1200">
            <a:solidFill>
              <a:srgbClr val="113B08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 editAs="oneCell">
    <xdr:from>
      <xdr:col>4</xdr:col>
      <xdr:colOff>209550</xdr:colOff>
      <xdr:row>210</xdr:row>
      <xdr:rowOff>123825</xdr:rowOff>
    </xdr:from>
    <xdr:to>
      <xdr:col>4</xdr:col>
      <xdr:colOff>1075295</xdr:colOff>
      <xdr:row>213</xdr:row>
      <xdr:rowOff>95250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B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34413825"/>
          <a:ext cx="865745" cy="542925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210</xdr:row>
      <xdr:rowOff>66675</xdr:rowOff>
    </xdr:from>
    <xdr:to>
      <xdr:col>6</xdr:col>
      <xdr:colOff>1327621</xdr:colOff>
      <xdr:row>213</xdr:row>
      <xdr:rowOff>171449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B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0" y="34356675"/>
          <a:ext cx="1194271" cy="676274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218</xdr:row>
      <xdr:rowOff>47626</xdr:rowOff>
    </xdr:from>
    <xdr:to>
      <xdr:col>7</xdr:col>
      <xdr:colOff>1009650</xdr:colOff>
      <xdr:row>222</xdr:row>
      <xdr:rowOff>133350</xdr:rowOff>
    </xdr:to>
    <xdr:pic>
      <xdr:nvPicPr>
        <xdr:cNvPr id="76" name="Picture 75" descr="2">
          <a:extLst>
            <a:ext uri="{FF2B5EF4-FFF2-40B4-BE49-F238E27FC236}">
              <a16:creationId xmlns:a16="http://schemas.microsoft.com/office/drawing/2014/main" id="{00000000-0008-0000-0B00-00004C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t="10000" b="36500"/>
        <a:stretch/>
      </xdr:blipFill>
      <xdr:spPr>
        <a:xfrm>
          <a:off x="123825" y="41576626"/>
          <a:ext cx="5943600" cy="847724"/>
        </a:xfrm>
        <a:prstGeom prst="rect">
          <a:avLst/>
        </a:prstGeom>
      </xdr:spPr>
    </xdr:pic>
    <xdr:clientData/>
  </xdr:twoCellAnchor>
  <xdr:twoCellAnchor>
    <xdr:from>
      <xdr:col>6</xdr:col>
      <xdr:colOff>809625</xdr:colOff>
      <xdr:row>218</xdr:row>
      <xdr:rowOff>171451</xdr:rowOff>
    </xdr:from>
    <xdr:to>
      <xdr:col>7</xdr:col>
      <xdr:colOff>800100</xdr:colOff>
      <xdr:row>221</xdr:row>
      <xdr:rowOff>95251</xdr:rowOff>
    </xdr:to>
    <xdr:sp macro="" textlink="">
      <xdr:nvSpPr>
        <xdr:cNvPr id="77" name="Text Box 1">
          <a:extLst>
            <a:ext uri="{FF2B5EF4-FFF2-40B4-BE49-F238E27FC236}">
              <a16:creationId xmlns:a16="http://schemas.microsoft.com/office/drawing/2014/main" id="{00000000-0008-0000-0B00-00004D000000}"/>
            </a:ext>
          </a:extLst>
        </xdr:cNvPr>
        <xdr:cNvSpPr txBox="1"/>
      </xdr:nvSpPr>
      <xdr:spPr>
        <a:xfrm>
          <a:off x="4314825" y="41700451"/>
          <a:ext cx="1543050" cy="4953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/>
        <a:p>
          <a:pPr marL="0" marR="0" algn="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400" b="1">
              <a:solidFill>
                <a:srgbClr val="113B08"/>
              </a:solidFill>
              <a:effectLst/>
              <a:latin typeface="Anton"/>
              <a:ea typeface="Calibri"/>
              <a:cs typeface="Anton"/>
            </a:rPr>
            <a:t>PAYSLIP</a:t>
          </a:r>
          <a:endParaRPr lang="en-US" sz="1200">
            <a:solidFill>
              <a:srgbClr val="113B08"/>
            </a:solidFill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 editAs="oneCell">
    <xdr:from>
      <xdr:col>4</xdr:col>
      <xdr:colOff>209550</xdr:colOff>
      <xdr:row>243</xdr:row>
      <xdr:rowOff>123825</xdr:rowOff>
    </xdr:from>
    <xdr:to>
      <xdr:col>4</xdr:col>
      <xdr:colOff>1075295</xdr:colOff>
      <xdr:row>246</xdr:row>
      <xdr:rowOff>95250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B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46415325"/>
          <a:ext cx="865745" cy="542925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243</xdr:row>
      <xdr:rowOff>66675</xdr:rowOff>
    </xdr:from>
    <xdr:to>
      <xdr:col>6</xdr:col>
      <xdr:colOff>1327621</xdr:colOff>
      <xdr:row>246</xdr:row>
      <xdr:rowOff>171449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B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38550" y="46358175"/>
          <a:ext cx="1194271" cy="67627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9</xdr:row>
          <xdr:rowOff>28575</xdr:rowOff>
        </xdr:from>
        <xdr:to>
          <xdr:col>8</xdr:col>
          <xdr:colOff>571500</xdr:colOff>
          <xdr:row>11</xdr:row>
          <xdr:rowOff>66675</xdr:rowOff>
        </xdr:to>
        <xdr:sp macro="" textlink="">
          <xdr:nvSpPr>
            <xdr:cNvPr id="287745" name="Check Box 1" hidden="1">
              <a:extLst>
                <a:ext uri="{63B3BB69-23CF-44E3-9099-C40C66FF867C}">
                  <a14:compatExt spid="_x0000_s287745"/>
                </a:ext>
                <a:ext uri="{FF2B5EF4-FFF2-40B4-BE49-F238E27FC236}">
                  <a16:creationId xmlns:a16="http://schemas.microsoft.com/office/drawing/2014/main" id="{00000000-0008-0000-0C00-0000016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9525</xdr:colOff>
      <xdr:row>0</xdr:row>
      <xdr:rowOff>9525</xdr:rowOff>
    </xdr:from>
    <xdr:to>
      <xdr:col>13</xdr:col>
      <xdr:colOff>357505</xdr:colOff>
      <xdr:row>6</xdr:row>
      <xdr:rowOff>95250</xdr:rowOff>
    </xdr:to>
    <xdr:pic>
      <xdr:nvPicPr>
        <xdr:cNvPr id="3" name="Picture 2" descr="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b="35354"/>
        <a:stretch/>
      </xdr:blipFill>
      <xdr:spPr>
        <a:xfrm>
          <a:off x="9525" y="9525"/>
          <a:ext cx="9149080" cy="1219200"/>
        </a:xfrm>
        <a:prstGeom prst="rect">
          <a:avLst/>
        </a:prstGeom>
      </xdr:spPr>
    </xdr:pic>
    <xdr:clientData/>
  </xdr:twoCellAnchor>
  <xdr:oneCellAnchor>
    <xdr:from>
      <xdr:col>11</xdr:col>
      <xdr:colOff>177165</xdr:colOff>
      <xdr:row>3</xdr:row>
      <xdr:rowOff>9525</xdr:rowOff>
    </xdr:from>
    <xdr:ext cx="1578610" cy="557530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 txBox="1"/>
      </xdr:nvSpPr>
      <xdr:spPr>
        <a:xfrm>
          <a:off x="7349490" y="495300"/>
          <a:ext cx="157861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b="1">
              <a:solidFill>
                <a:schemeClr val="accent6">
                  <a:lumMod val="75000"/>
                </a:schemeClr>
              </a:solidFill>
              <a:latin typeface="Anton" panose="00000500000000000000" charset="0"/>
              <a:cs typeface="Anton" panose="00000500000000000000" charset="0"/>
            </a:rPr>
            <a:t>TIME SHEET</a:t>
          </a: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9</xdr:row>
          <xdr:rowOff>28575</xdr:rowOff>
        </xdr:from>
        <xdr:to>
          <xdr:col>8</xdr:col>
          <xdr:colOff>571500</xdr:colOff>
          <xdr:row>11</xdr:row>
          <xdr:rowOff>66675</xdr:rowOff>
        </xdr:to>
        <xdr:sp macro="" textlink="">
          <xdr:nvSpPr>
            <xdr:cNvPr id="344065" name="Check Box 1" hidden="1">
              <a:extLst>
                <a:ext uri="{63B3BB69-23CF-44E3-9099-C40C66FF867C}">
                  <a14:compatExt spid="_x0000_s344065"/>
                </a:ext>
                <a:ext uri="{FF2B5EF4-FFF2-40B4-BE49-F238E27FC236}">
                  <a16:creationId xmlns:a16="http://schemas.microsoft.com/office/drawing/2014/main" id="{00000000-0008-0000-0D00-0000014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9525</xdr:colOff>
      <xdr:row>0</xdr:row>
      <xdr:rowOff>9525</xdr:rowOff>
    </xdr:from>
    <xdr:to>
      <xdr:col>13</xdr:col>
      <xdr:colOff>367030</xdr:colOff>
      <xdr:row>6</xdr:row>
      <xdr:rowOff>95250</xdr:rowOff>
    </xdr:to>
    <xdr:pic>
      <xdr:nvPicPr>
        <xdr:cNvPr id="3" name="Picture 2" descr="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b="35354"/>
        <a:stretch/>
      </xdr:blipFill>
      <xdr:spPr>
        <a:xfrm>
          <a:off x="9525" y="9525"/>
          <a:ext cx="9110980" cy="1219200"/>
        </a:xfrm>
        <a:prstGeom prst="rect">
          <a:avLst/>
        </a:prstGeom>
      </xdr:spPr>
    </xdr:pic>
    <xdr:clientData/>
  </xdr:twoCellAnchor>
  <xdr:oneCellAnchor>
    <xdr:from>
      <xdr:col>11</xdr:col>
      <xdr:colOff>177165</xdr:colOff>
      <xdr:row>3</xdr:row>
      <xdr:rowOff>9525</xdr:rowOff>
    </xdr:from>
    <xdr:ext cx="1578610" cy="557530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 txBox="1"/>
      </xdr:nvSpPr>
      <xdr:spPr>
        <a:xfrm>
          <a:off x="7292340" y="495300"/>
          <a:ext cx="157861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b="1">
              <a:solidFill>
                <a:schemeClr val="accent6">
                  <a:lumMod val="75000"/>
                </a:schemeClr>
              </a:solidFill>
              <a:latin typeface="Anton" panose="00000500000000000000" charset="0"/>
              <a:cs typeface="Anton" panose="00000500000000000000" charset="0"/>
            </a:rPr>
            <a:t>TIME SHEET</a:t>
          </a: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8</xdr:row>
          <xdr:rowOff>28575</xdr:rowOff>
        </xdr:from>
        <xdr:to>
          <xdr:col>8</xdr:col>
          <xdr:colOff>571500</xdr:colOff>
          <xdr:row>10</xdr:row>
          <xdr:rowOff>66675</xdr:rowOff>
        </xdr:to>
        <xdr:sp macro="" textlink="">
          <xdr:nvSpPr>
            <xdr:cNvPr id="289793" name="Check Box 1" hidden="1">
              <a:extLst>
                <a:ext uri="{63B3BB69-23CF-44E3-9099-C40C66FF867C}">
                  <a14:compatExt spid="_x0000_s289793"/>
                </a:ext>
                <a:ext uri="{FF2B5EF4-FFF2-40B4-BE49-F238E27FC236}">
                  <a16:creationId xmlns:a16="http://schemas.microsoft.com/office/drawing/2014/main" id="{00000000-0008-0000-0E00-0000016C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635</xdr:colOff>
      <xdr:row>0</xdr:row>
      <xdr:rowOff>635</xdr:rowOff>
    </xdr:from>
    <xdr:to>
      <xdr:col>13</xdr:col>
      <xdr:colOff>654050</xdr:colOff>
      <xdr:row>5</xdr:row>
      <xdr:rowOff>28575</xdr:rowOff>
    </xdr:to>
    <xdr:pic>
      <xdr:nvPicPr>
        <xdr:cNvPr id="3" name="Picture 2" descr="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b="34990"/>
        <a:stretch/>
      </xdr:blipFill>
      <xdr:spPr>
        <a:xfrm>
          <a:off x="635" y="635"/>
          <a:ext cx="9197340" cy="1237615"/>
        </a:xfrm>
        <a:prstGeom prst="rect">
          <a:avLst/>
        </a:prstGeom>
      </xdr:spPr>
    </xdr:pic>
    <xdr:clientData/>
  </xdr:twoCellAnchor>
  <xdr:oneCellAnchor>
    <xdr:from>
      <xdr:col>11</xdr:col>
      <xdr:colOff>496570</xdr:colOff>
      <xdr:row>2</xdr:row>
      <xdr:rowOff>57150</xdr:rowOff>
    </xdr:from>
    <xdr:ext cx="1578610" cy="557530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 txBox="1"/>
      </xdr:nvSpPr>
      <xdr:spPr>
        <a:xfrm>
          <a:off x="7259320" y="381000"/>
          <a:ext cx="157861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b="1">
              <a:solidFill>
                <a:schemeClr val="accent6">
                  <a:lumMod val="75000"/>
                </a:schemeClr>
              </a:solidFill>
              <a:latin typeface="Anton" panose="00000500000000000000" charset="0"/>
              <a:cs typeface="Anton" panose="00000500000000000000" charset="0"/>
            </a:rPr>
            <a:t>TIME SHEET</a:t>
          </a: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9</xdr:row>
          <xdr:rowOff>28575</xdr:rowOff>
        </xdr:from>
        <xdr:to>
          <xdr:col>8</xdr:col>
          <xdr:colOff>571500</xdr:colOff>
          <xdr:row>11</xdr:row>
          <xdr:rowOff>66675</xdr:rowOff>
        </xdr:to>
        <xdr:sp macro="" textlink="">
          <xdr:nvSpPr>
            <xdr:cNvPr id="262145" name="Check Box 1" hidden="1">
              <a:extLst>
                <a:ext uri="{63B3BB69-23CF-44E3-9099-C40C66FF867C}">
                  <a14:compatExt spid="_x0000_s262145"/>
                </a:ext>
                <a:ext uri="{FF2B5EF4-FFF2-40B4-BE49-F238E27FC236}">
                  <a16:creationId xmlns:a16="http://schemas.microsoft.com/office/drawing/2014/main" id="{00000000-0008-0000-0F00-00000100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635</xdr:colOff>
      <xdr:row>0</xdr:row>
      <xdr:rowOff>1270</xdr:rowOff>
    </xdr:from>
    <xdr:to>
      <xdr:col>13</xdr:col>
      <xdr:colOff>701675</xdr:colOff>
      <xdr:row>5</xdr:row>
      <xdr:rowOff>285750</xdr:rowOff>
    </xdr:to>
    <xdr:pic>
      <xdr:nvPicPr>
        <xdr:cNvPr id="3" name="Picture 2" descr="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b="34023"/>
        <a:stretch/>
      </xdr:blipFill>
      <xdr:spPr>
        <a:xfrm>
          <a:off x="635" y="1270"/>
          <a:ext cx="9130665" cy="1256030"/>
        </a:xfrm>
        <a:prstGeom prst="rect">
          <a:avLst/>
        </a:prstGeom>
      </xdr:spPr>
    </xdr:pic>
    <xdr:clientData/>
  </xdr:twoCellAnchor>
  <xdr:oneCellAnchor>
    <xdr:from>
      <xdr:col>11</xdr:col>
      <xdr:colOff>555625</xdr:colOff>
      <xdr:row>2</xdr:row>
      <xdr:rowOff>85725</xdr:rowOff>
    </xdr:from>
    <xdr:ext cx="1578610" cy="557530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 txBox="1"/>
      </xdr:nvSpPr>
      <xdr:spPr>
        <a:xfrm>
          <a:off x="7318375" y="409575"/>
          <a:ext cx="157861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b="1">
              <a:solidFill>
                <a:schemeClr val="accent6">
                  <a:lumMod val="75000"/>
                </a:schemeClr>
              </a:solidFill>
              <a:latin typeface="Anton" panose="00000500000000000000" charset="0"/>
              <a:cs typeface="Anton" panose="00000500000000000000" charset="0"/>
            </a:rPr>
            <a:t>TIME SHEET</a:t>
          </a: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9</xdr:row>
          <xdr:rowOff>28575</xdr:rowOff>
        </xdr:from>
        <xdr:to>
          <xdr:col>8</xdr:col>
          <xdr:colOff>571500</xdr:colOff>
          <xdr:row>11</xdr:row>
          <xdr:rowOff>66675</xdr:rowOff>
        </xdr:to>
        <xdr:sp macro="" textlink="">
          <xdr:nvSpPr>
            <xdr:cNvPr id="169985" name="Check Box 1" hidden="1">
              <a:extLst>
                <a:ext uri="{63B3BB69-23CF-44E3-9099-C40C66FF867C}">
                  <a14:compatExt spid="_x0000_s169985"/>
                </a:ext>
                <a:ext uri="{FF2B5EF4-FFF2-40B4-BE49-F238E27FC236}">
                  <a16:creationId xmlns:a16="http://schemas.microsoft.com/office/drawing/2014/main" id="{00000000-0008-0000-1000-0000019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635</xdr:colOff>
      <xdr:row>0</xdr:row>
      <xdr:rowOff>1270</xdr:rowOff>
    </xdr:from>
    <xdr:to>
      <xdr:col>13</xdr:col>
      <xdr:colOff>577850</xdr:colOff>
      <xdr:row>5</xdr:row>
      <xdr:rowOff>266700</xdr:rowOff>
    </xdr:to>
    <xdr:pic>
      <xdr:nvPicPr>
        <xdr:cNvPr id="2" name="Picture 1" descr="2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b="35023"/>
        <a:stretch/>
      </xdr:blipFill>
      <xdr:spPr>
        <a:xfrm>
          <a:off x="635" y="1270"/>
          <a:ext cx="9149715" cy="1236980"/>
        </a:xfrm>
        <a:prstGeom prst="rect">
          <a:avLst/>
        </a:prstGeom>
      </xdr:spPr>
    </xdr:pic>
    <xdr:clientData/>
  </xdr:twoCellAnchor>
  <xdr:oneCellAnchor>
    <xdr:from>
      <xdr:col>11</xdr:col>
      <xdr:colOff>555625</xdr:colOff>
      <xdr:row>2</xdr:row>
      <xdr:rowOff>85725</xdr:rowOff>
    </xdr:from>
    <xdr:ext cx="1578610" cy="557530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 txBox="1"/>
      </xdr:nvSpPr>
      <xdr:spPr>
        <a:xfrm>
          <a:off x="6918325" y="409575"/>
          <a:ext cx="157861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b="1">
              <a:solidFill>
                <a:schemeClr val="accent6">
                  <a:lumMod val="75000"/>
                </a:schemeClr>
              </a:solidFill>
              <a:latin typeface="Anton" panose="00000500000000000000" charset="0"/>
              <a:cs typeface="Anton" panose="00000500000000000000" charset="0"/>
            </a:rPr>
            <a:t>TIME SHEET</a:t>
          </a: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9</xdr:row>
          <xdr:rowOff>28575</xdr:rowOff>
        </xdr:from>
        <xdr:to>
          <xdr:col>8</xdr:col>
          <xdr:colOff>571500</xdr:colOff>
          <xdr:row>11</xdr:row>
          <xdr:rowOff>66675</xdr:rowOff>
        </xdr:to>
        <xdr:sp macro="" textlink="">
          <xdr:nvSpPr>
            <xdr:cNvPr id="656385" name="Check Box 1" hidden="1">
              <a:extLst>
                <a:ext uri="{63B3BB69-23CF-44E3-9099-C40C66FF867C}">
                  <a14:compatExt spid="_x0000_s656385"/>
                </a:ext>
                <a:ext uri="{FF2B5EF4-FFF2-40B4-BE49-F238E27FC236}">
                  <a16:creationId xmlns:a16="http://schemas.microsoft.com/office/drawing/2014/main" id="{00000000-0008-0000-1100-00000104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635</xdr:colOff>
      <xdr:row>0</xdr:row>
      <xdr:rowOff>1270</xdr:rowOff>
    </xdr:from>
    <xdr:to>
      <xdr:col>13</xdr:col>
      <xdr:colOff>701675</xdr:colOff>
      <xdr:row>5</xdr:row>
      <xdr:rowOff>285750</xdr:rowOff>
    </xdr:to>
    <xdr:pic>
      <xdr:nvPicPr>
        <xdr:cNvPr id="2" name="Picture 1" descr="2">
          <a:extLst>
            <a:ext uri="{FF2B5EF4-FFF2-40B4-BE49-F238E27FC236}">
              <a16:creationId xmlns:a16="http://schemas.microsoft.com/office/drawing/2014/main" id="{BD971E01-118A-46F5-BC7B-DADC15C3AD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b="34023"/>
        <a:stretch/>
      </xdr:blipFill>
      <xdr:spPr>
        <a:xfrm>
          <a:off x="635" y="1270"/>
          <a:ext cx="9073515" cy="1256030"/>
        </a:xfrm>
        <a:prstGeom prst="rect">
          <a:avLst/>
        </a:prstGeom>
      </xdr:spPr>
    </xdr:pic>
    <xdr:clientData/>
  </xdr:twoCellAnchor>
  <xdr:oneCellAnchor>
    <xdr:from>
      <xdr:col>11</xdr:col>
      <xdr:colOff>555625</xdr:colOff>
      <xdr:row>2</xdr:row>
      <xdr:rowOff>85725</xdr:rowOff>
    </xdr:from>
    <xdr:ext cx="1578610" cy="557530"/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4F43C08C-4339-4B4C-8931-4C3362071010}"/>
            </a:ext>
          </a:extLst>
        </xdr:cNvPr>
        <xdr:cNvSpPr txBox="1"/>
      </xdr:nvSpPr>
      <xdr:spPr>
        <a:xfrm>
          <a:off x="7270750" y="409575"/>
          <a:ext cx="157861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b="1">
              <a:solidFill>
                <a:schemeClr val="accent6">
                  <a:lumMod val="75000"/>
                </a:schemeClr>
              </a:solidFill>
              <a:latin typeface="Anton" panose="00000500000000000000" charset="0"/>
              <a:cs typeface="Anton" panose="00000500000000000000" charset="0"/>
            </a:rPr>
            <a:t>TIME SHEET</a:t>
          </a:r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9</xdr:row>
          <xdr:rowOff>28575</xdr:rowOff>
        </xdr:from>
        <xdr:to>
          <xdr:col>8</xdr:col>
          <xdr:colOff>571500</xdr:colOff>
          <xdr:row>11</xdr:row>
          <xdr:rowOff>66675</xdr:rowOff>
        </xdr:to>
        <xdr:sp macro="" textlink="">
          <xdr:nvSpPr>
            <xdr:cNvPr id="503809" name="Check Box 1" hidden="1">
              <a:extLst>
                <a:ext uri="{63B3BB69-23CF-44E3-9099-C40C66FF867C}">
                  <a14:compatExt spid="_x0000_s503809"/>
                </a:ext>
                <a:ext uri="{FF2B5EF4-FFF2-40B4-BE49-F238E27FC236}">
                  <a16:creationId xmlns:a16="http://schemas.microsoft.com/office/drawing/2014/main" id="{00000000-0008-0000-1200-000001B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635</xdr:colOff>
      <xdr:row>0</xdr:row>
      <xdr:rowOff>1270</xdr:rowOff>
    </xdr:from>
    <xdr:to>
      <xdr:col>13</xdr:col>
      <xdr:colOff>701675</xdr:colOff>
      <xdr:row>5</xdr:row>
      <xdr:rowOff>285750</xdr:rowOff>
    </xdr:to>
    <xdr:pic>
      <xdr:nvPicPr>
        <xdr:cNvPr id="3" name="Picture 2" descr="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b="34023"/>
        <a:stretch/>
      </xdr:blipFill>
      <xdr:spPr>
        <a:xfrm>
          <a:off x="635" y="1270"/>
          <a:ext cx="9092565" cy="1256030"/>
        </a:xfrm>
        <a:prstGeom prst="rect">
          <a:avLst/>
        </a:prstGeom>
      </xdr:spPr>
    </xdr:pic>
    <xdr:clientData/>
  </xdr:twoCellAnchor>
  <xdr:oneCellAnchor>
    <xdr:from>
      <xdr:col>11</xdr:col>
      <xdr:colOff>555625</xdr:colOff>
      <xdr:row>2</xdr:row>
      <xdr:rowOff>85725</xdr:rowOff>
    </xdr:from>
    <xdr:ext cx="1578610" cy="557530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 txBox="1"/>
      </xdr:nvSpPr>
      <xdr:spPr>
        <a:xfrm>
          <a:off x="7280275" y="409575"/>
          <a:ext cx="157861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b="1">
              <a:solidFill>
                <a:schemeClr val="accent6">
                  <a:lumMod val="75000"/>
                </a:schemeClr>
              </a:solidFill>
              <a:latin typeface="Anton" panose="00000500000000000000" charset="0"/>
              <a:cs typeface="Anton" panose="00000500000000000000" charset="0"/>
            </a:rPr>
            <a:t>TIME SHEET</a:t>
          </a:r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0</xdr:row>
      <xdr:rowOff>1270</xdr:rowOff>
    </xdr:from>
    <xdr:to>
      <xdr:col>13</xdr:col>
      <xdr:colOff>701675</xdr:colOff>
      <xdr:row>5</xdr:row>
      <xdr:rowOff>285750</xdr:rowOff>
    </xdr:to>
    <xdr:pic>
      <xdr:nvPicPr>
        <xdr:cNvPr id="2" name="Picture 1" descr="2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b="34023"/>
        <a:stretch/>
      </xdr:blipFill>
      <xdr:spPr>
        <a:xfrm>
          <a:off x="635" y="1270"/>
          <a:ext cx="9073515" cy="125603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9</xdr:row>
          <xdr:rowOff>28575</xdr:rowOff>
        </xdr:from>
        <xdr:to>
          <xdr:col>8</xdr:col>
          <xdr:colOff>571500</xdr:colOff>
          <xdr:row>11</xdr:row>
          <xdr:rowOff>66675</xdr:rowOff>
        </xdr:to>
        <xdr:sp macro="" textlink="">
          <xdr:nvSpPr>
            <xdr:cNvPr id="367617" name="Check Box 1" hidden="1">
              <a:extLst>
                <a:ext uri="{63B3BB69-23CF-44E3-9099-C40C66FF867C}">
                  <a14:compatExt spid="_x0000_s367617"/>
                </a:ext>
                <a:ext uri="{FF2B5EF4-FFF2-40B4-BE49-F238E27FC236}">
                  <a16:creationId xmlns:a16="http://schemas.microsoft.com/office/drawing/2014/main" id="{00000000-0008-0000-1300-0000019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  <xdr:oneCellAnchor>
    <xdr:from>
      <xdr:col>11</xdr:col>
      <xdr:colOff>555625</xdr:colOff>
      <xdr:row>2</xdr:row>
      <xdr:rowOff>85725</xdr:rowOff>
    </xdr:from>
    <xdr:ext cx="1578610" cy="557530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 txBox="1"/>
      </xdr:nvSpPr>
      <xdr:spPr>
        <a:xfrm>
          <a:off x="7270750" y="409575"/>
          <a:ext cx="157861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b="1">
              <a:solidFill>
                <a:schemeClr val="accent6">
                  <a:lumMod val="75000"/>
                </a:schemeClr>
              </a:solidFill>
              <a:latin typeface="Anton" panose="00000500000000000000" charset="0"/>
              <a:cs typeface="Anton" panose="00000500000000000000" charset="0"/>
            </a:rPr>
            <a:t>TIME SHEET</a:t>
          </a:r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0</xdr:row>
      <xdr:rowOff>1270</xdr:rowOff>
    </xdr:from>
    <xdr:to>
      <xdr:col>13</xdr:col>
      <xdr:colOff>701675</xdr:colOff>
      <xdr:row>5</xdr:row>
      <xdr:rowOff>285750</xdr:rowOff>
    </xdr:to>
    <xdr:pic>
      <xdr:nvPicPr>
        <xdr:cNvPr id="2" name="Picture 1" descr="2">
          <a:extLst>
            <a:ext uri="{FF2B5EF4-FFF2-40B4-BE49-F238E27FC236}">
              <a16:creationId xmlns:a16="http://schemas.microsoft.com/office/drawing/2014/main" id="{B7287F2A-8E2B-4199-97D9-3668496204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b="34023"/>
        <a:stretch/>
      </xdr:blipFill>
      <xdr:spPr>
        <a:xfrm>
          <a:off x="635" y="1270"/>
          <a:ext cx="9073515" cy="125603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9</xdr:row>
          <xdr:rowOff>28575</xdr:rowOff>
        </xdr:from>
        <xdr:to>
          <xdr:col>8</xdr:col>
          <xdr:colOff>571500</xdr:colOff>
          <xdr:row>11</xdr:row>
          <xdr:rowOff>66675</xdr:rowOff>
        </xdr:to>
        <xdr:sp macro="" textlink="">
          <xdr:nvSpPr>
            <xdr:cNvPr id="654337" name="Check Box 1" hidden="1">
              <a:extLst>
                <a:ext uri="{63B3BB69-23CF-44E3-9099-C40C66FF867C}">
                  <a14:compatExt spid="_x0000_s654337"/>
                </a:ext>
                <a:ext uri="{FF2B5EF4-FFF2-40B4-BE49-F238E27FC236}">
                  <a16:creationId xmlns:a16="http://schemas.microsoft.com/office/drawing/2014/main" id="{00000000-0008-0000-1400-000001FC0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  <xdr:oneCellAnchor>
    <xdr:from>
      <xdr:col>11</xdr:col>
      <xdr:colOff>555625</xdr:colOff>
      <xdr:row>2</xdr:row>
      <xdr:rowOff>85725</xdr:rowOff>
    </xdr:from>
    <xdr:ext cx="1578610" cy="557530"/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863A6FE-B038-481F-B3B3-F32A774EEECE}"/>
            </a:ext>
          </a:extLst>
        </xdr:cNvPr>
        <xdr:cNvSpPr txBox="1"/>
      </xdr:nvSpPr>
      <xdr:spPr>
        <a:xfrm>
          <a:off x="7270750" y="409575"/>
          <a:ext cx="157861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b="1">
              <a:solidFill>
                <a:schemeClr val="accent6">
                  <a:lumMod val="75000"/>
                </a:schemeClr>
              </a:solidFill>
              <a:latin typeface="Anton" panose="00000500000000000000" charset="0"/>
              <a:cs typeface="Anton" panose="00000500000000000000" charset="0"/>
            </a:rPr>
            <a:t>TIME SHEET</a:t>
          </a:r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0</xdr:row>
      <xdr:rowOff>1270</xdr:rowOff>
    </xdr:from>
    <xdr:to>
      <xdr:col>13</xdr:col>
      <xdr:colOff>701675</xdr:colOff>
      <xdr:row>5</xdr:row>
      <xdr:rowOff>285750</xdr:rowOff>
    </xdr:to>
    <xdr:pic>
      <xdr:nvPicPr>
        <xdr:cNvPr id="2" name="Picture 1" descr="2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b="34023"/>
        <a:stretch/>
      </xdr:blipFill>
      <xdr:spPr>
        <a:xfrm>
          <a:off x="635" y="1270"/>
          <a:ext cx="9092565" cy="125603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9</xdr:row>
          <xdr:rowOff>28575</xdr:rowOff>
        </xdr:from>
        <xdr:to>
          <xdr:col>8</xdr:col>
          <xdr:colOff>571500</xdr:colOff>
          <xdr:row>11</xdr:row>
          <xdr:rowOff>66675</xdr:rowOff>
        </xdr:to>
        <xdr:sp macro="" textlink="">
          <xdr:nvSpPr>
            <xdr:cNvPr id="548865" name="Check Box 1" hidden="1">
              <a:extLst>
                <a:ext uri="{63B3BB69-23CF-44E3-9099-C40C66FF867C}">
                  <a14:compatExt spid="_x0000_s548865"/>
                </a:ext>
                <a:ext uri="{FF2B5EF4-FFF2-40B4-BE49-F238E27FC236}">
                  <a16:creationId xmlns:a16="http://schemas.microsoft.com/office/drawing/2014/main" id="{00000000-0008-0000-1500-00000160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  <xdr:oneCellAnchor>
    <xdr:from>
      <xdr:col>11</xdr:col>
      <xdr:colOff>555625</xdr:colOff>
      <xdr:row>2</xdr:row>
      <xdr:rowOff>85725</xdr:rowOff>
    </xdr:from>
    <xdr:ext cx="1578610" cy="557530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 txBox="1"/>
      </xdr:nvSpPr>
      <xdr:spPr>
        <a:xfrm>
          <a:off x="7280275" y="409575"/>
          <a:ext cx="157861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b="1">
              <a:solidFill>
                <a:schemeClr val="accent6">
                  <a:lumMod val="75000"/>
                </a:schemeClr>
              </a:solidFill>
              <a:latin typeface="Anton" panose="00000500000000000000" charset="0"/>
              <a:cs typeface="Anton" panose="00000500000000000000" charset="0"/>
            </a:rPr>
            <a:t>TIME SHEET</a:t>
          </a:r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9</xdr:row>
          <xdr:rowOff>28575</xdr:rowOff>
        </xdr:from>
        <xdr:to>
          <xdr:col>8</xdr:col>
          <xdr:colOff>571500</xdr:colOff>
          <xdr:row>11</xdr:row>
          <xdr:rowOff>66675</xdr:rowOff>
        </xdr:to>
        <xdr:sp macro="" textlink="">
          <xdr:nvSpPr>
            <xdr:cNvPr id="472065" name="Check Box 1" hidden="1">
              <a:extLst>
                <a:ext uri="{63B3BB69-23CF-44E3-9099-C40C66FF867C}">
                  <a14:compatExt spid="_x0000_s472065"/>
                </a:ext>
                <a:ext uri="{FF2B5EF4-FFF2-40B4-BE49-F238E27FC236}">
                  <a16:creationId xmlns:a16="http://schemas.microsoft.com/office/drawing/2014/main" id="{00000000-0008-0000-1600-00000134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635</xdr:colOff>
      <xdr:row>0</xdr:row>
      <xdr:rowOff>1270</xdr:rowOff>
    </xdr:from>
    <xdr:to>
      <xdr:col>13</xdr:col>
      <xdr:colOff>701675</xdr:colOff>
      <xdr:row>5</xdr:row>
      <xdr:rowOff>285750</xdr:rowOff>
    </xdr:to>
    <xdr:pic>
      <xdr:nvPicPr>
        <xdr:cNvPr id="3" name="Picture 2" descr="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b="34023"/>
        <a:stretch/>
      </xdr:blipFill>
      <xdr:spPr>
        <a:xfrm>
          <a:off x="635" y="1270"/>
          <a:ext cx="9073515" cy="1256030"/>
        </a:xfrm>
        <a:prstGeom prst="rect">
          <a:avLst/>
        </a:prstGeom>
      </xdr:spPr>
    </xdr:pic>
    <xdr:clientData/>
  </xdr:twoCellAnchor>
  <xdr:oneCellAnchor>
    <xdr:from>
      <xdr:col>11</xdr:col>
      <xdr:colOff>555625</xdr:colOff>
      <xdr:row>2</xdr:row>
      <xdr:rowOff>85725</xdr:rowOff>
    </xdr:from>
    <xdr:ext cx="1578610" cy="557530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 txBox="1"/>
      </xdr:nvSpPr>
      <xdr:spPr>
        <a:xfrm>
          <a:off x="7270750" y="409575"/>
          <a:ext cx="157861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b="1">
              <a:solidFill>
                <a:schemeClr val="accent6">
                  <a:lumMod val="75000"/>
                </a:schemeClr>
              </a:solidFill>
              <a:latin typeface="Anton" panose="00000500000000000000" charset="0"/>
              <a:cs typeface="Anton" panose="00000500000000000000" charset="0"/>
            </a:rPr>
            <a:t>TIME SHEET</a:t>
          </a:r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9</xdr:row>
          <xdr:rowOff>28575</xdr:rowOff>
        </xdr:from>
        <xdr:to>
          <xdr:col>8</xdr:col>
          <xdr:colOff>571500</xdr:colOff>
          <xdr:row>11</xdr:row>
          <xdr:rowOff>66675</xdr:rowOff>
        </xdr:to>
        <xdr:sp macro="" textlink="">
          <xdr:nvSpPr>
            <xdr:cNvPr id="598017" name="Check Box 1" hidden="1">
              <a:extLst>
                <a:ext uri="{63B3BB69-23CF-44E3-9099-C40C66FF867C}">
                  <a14:compatExt spid="_x0000_s598017"/>
                </a:ext>
                <a:ext uri="{FF2B5EF4-FFF2-40B4-BE49-F238E27FC236}">
                  <a16:creationId xmlns:a16="http://schemas.microsoft.com/office/drawing/2014/main" id="{00000000-0008-0000-1700-000001200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635</xdr:colOff>
      <xdr:row>0</xdr:row>
      <xdr:rowOff>1270</xdr:rowOff>
    </xdr:from>
    <xdr:to>
      <xdr:col>13</xdr:col>
      <xdr:colOff>701675</xdr:colOff>
      <xdr:row>5</xdr:row>
      <xdr:rowOff>285750</xdr:rowOff>
    </xdr:to>
    <xdr:pic>
      <xdr:nvPicPr>
        <xdr:cNvPr id="3" name="Picture 2" descr="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b="34023"/>
        <a:stretch/>
      </xdr:blipFill>
      <xdr:spPr>
        <a:xfrm>
          <a:off x="635" y="1270"/>
          <a:ext cx="9092565" cy="1256030"/>
        </a:xfrm>
        <a:prstGeom prst="rect">
          <a:avLst/>
        </a:prstGeom>
      </xdr:spPr>
    </xdr:pic>
    <xdr:clientData/>
  </xdr:twoCellAnchor>
  <xdr:oneCellAnchor>
    <xdr:from>
      <xdr:col>11</xdr:col>
      <xdr:colOff>555625</xdr:colOff>
      <xdr:row>2</xdr:row>
      <xdr:rowOff>85725</xdr:rowOff>
    </xdr:from>
    <xdr:ext cx="1578610" cy="557530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 txBox="1"/>
      </xdr:nvSpPr>
      <xdr:spPr>
        <a:xfrm>
          <a:off x="7280275" y="409575"/>
          <a:ext cx="157861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b="1">
              <a:solidFill>
                <a:schemeClr val="accent6">
                  <a:lumMod val="75000"/>
                </a:schemeClr>
              </a:solidFill>
              <a:latin typeface="Anton" panose="00000500000000000000" charset="0"/>
              <a:cs typeface="Anton" panose="00000500000000000000" charset="0"/>
            </a:rPr>
            <a:t>TIME SHEET</a:t>
          </a:r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9</xdr:row>
          <xdr:rowOff>28575</xdr:rowOff>
        </xdr:from>
        <xdr:to>
          <xdr:col>8</xdr:col>
          <xdr:colOff>571500</xdr:colOff>
          <xdr:row>11</xdr:row>
          <xdr:rowOff>66675</xdr:rowOff>
        </xdr:to>
        <xdr:sp macro="" textlink="">
          <xdr:nvSpPr>
            <xdr:cNvPr id="309249" name="Check Box 1" hidden="1">
              <a:extLst>
                <a:ext uri="{63B3BB69-23CF-44E3-9099-C40C66FF867C}">
                  <a14:compatExt spid="_x0000_s309249"/>
                </a:ext>
                <a:ext uri="{FF2B5EF4-FFF2-40B4-BE49-F238E27FC236}">
                  <a16:creationId xmlns:a16="http://schemas.microsoft.com/office/drawing/2014/main" id="{00000000-0008-0000-1800-000001B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635</xdr:colOff>
      <xdr:row>0</xdr:row>
      <xdr:rowOff>1270</xdr:rowOff>
    </xdr:from>
    <xdr:to>
      <xdr:col>13</xdr:col>
      <xdr:colOff>577850</xdr:colOff>
      <xdr:row>5</xdr:row>
      <xdr:rowOff>266700</xdr:rowOff>
    </xdr:to>
    <xdr:pic>
      <xdr:nvPicPr>
        <xdr:cNvPr id="3" name="Picture 2" descr="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b="35023"/>
        <a:stretch/>
      </xdr:blipFill>
      <xdr:spPr>
        <a:xfrm>
          <a:off x="635" y="1270"/>
          <a:ext cx="9083040" cy="1236980"/>
        </a:xfrm>
        <a:prstGeom prst="rect">
          <a:avLst/>
        </a:prstGeom>
      </xdr:spPr>
    </xdr:pic>
    <xdr:clientData/>
  </xdr:twoCellAnchor>
  <xdr:oneCellAnchor>
    <xdr:from>
      <xdr:col>11</xdr:col>
      <xdr:colOff>555625</xdr:colOff>
      <xdr:row>2</xdr:row>
      <xdr:rowOff>85725</xdr:rowOff>
    </xdr:from>
    <xdr:ext cx="1578610" cy="557530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 txBox="1"/>
      </xdr:nvSpPr>
      <xdr:spPr>
        <a:xfrm>
          <a:off x="7270750" y="409575"/>
          <a:ext cx="157861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b="1">
              <a:solidFill>
                <a:schemeClr val="accent6">
                  <a:lumMod val="75000"/>
                </a:schemeClr>
              </a:solidFill>
              <a:latin typeface="Anton" panose="00000500000000000000" charset="0"/>
              <a:cs typeface="Anton" panose="00000500000000000000" charset="0"/>
            </a:rPr>
            <a:t>TIME SHEET</a:t>
          </a:r>
        </a:p>
      </xdr:txBody>
    </xdr:sp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0</xdr:row>
      <xdr:rowOff>1270</xdr:rowOff>
    </xdr:from>
    <xdr:to>
      <xdr:col>13</xdr:col>
      <xdr:colOff>806450</xdr:colOff>
      <xdr:row>5</xdr:row>
      <xdr:rowOff>285750</xdr:rowOff>
    </xdr:to>
    <xdr:pic>
      <xdr:nvPicPr>
        <xdr:cNvPr id="2" name="Picture 1" descr="2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b="34023"/>
        <a:stretch/>
      </xdr:blipFill>
      <xdr:spPr>
        <a:xfrm>
          <a:off x="635" y="1270"/>
          <a:ext cx="9149715" cy="125603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9</xdr:row>
          <xdr:rowOff>66675</xdr:rowOff>
        </xdr:from>
        <xdr:to>
          <xdr:col>9</xdr:col>
          <xdr:colOff>0</xdr:colOff>
          <xdr:row>12</xdr:row>
          <xdr:rowOff>0</xdr:rowOff>
        </xdr:to>
        <xdr:sp macro="" textlink="">
          <xdr:nvSpPr>
            <xdr:cNvPr id="242689" name="Check Box 1" hidden="1">
              <a:extLst>
                <a:ext uri="{63B3BB69-23CF-44E3-9099-C40C66FF867C}">
                  <a14:compatExt spid="_x0000_s242689"/>
                </a:ext>
                <a:ext uri="{FF2B5EF4-FFF2-40B4-BE49-F238E27FC236}">
                  <a16:creationId xmlns:a16="http://schemas.microsoft.com/office/drawing/2014/main" id="{00000000-0008-0000-1900-000001B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  <xdr:oneCellAnchor>
    <xdr:from>
      <xdr:col>11</xdr:col>
      <xdr:colOff>555625</xdr:colOff>
      <xdr:row>2</xdr:row>
      <xdr:rowOff>85725</xdr:rowOff>
    </xdr:from>
    <xdr:ext cx="1578610" cy="557530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 txBox="1"/>
      </xdr:nvSpPr>
      <xdr:spPr>
        <a:xfrm>
          <a:off x="7327900" y="409575"/>
          <a:ext cx="157861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b="1">
              <a:solidFill>
                <a:schemeClr val="accent6">
                  <a:lumMod val="75000"/>
                </a:schemeClr>
              </a:solidFill>
              <a:latin typeface="Anton" panose="00000500000000000000" charset="0"/>
              <a:cs typeface="Anton" panose="00000500000000000000" charset="0"/>
            </a:rPr>
            <a:t>TIME SHEET</a:t>
          </a:r>
        </a:p>
      </xdr:txBody>
    </xdr:sp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0</xdr:row>
      <xdr:rowOff>1270</xdr:rowOff>
    </xdr:from>
    <xdr:to>
      <xdr:col>13</xdr:col>
      <xdr:colOff>701675</xdr:colOff>
      <xdr:row>5</xdr:row>
      <xdr:rowOff>285750</xdr:rowOff>
    </xdr:to>
    <xdr:pic>
      <xdr:nvPicPr>
        <xdr:cNvPr id="3" name="Picture 2" descr="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b="34023"/>
        <a:stretch/>
      </xdr:blipFill>
      <xdr:spPr>
        <a:xfrm>
          <a:off x="635" y="1270"/>
          <a:ext cx="9149715" cy="125603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9</xdr:row>
          <xdr:rowOff>28575</xdr:rowOff>
        </xdr:from>
        <xdr:to>
          <xdr:col>8</xdr:col>
          <xdr:colOff>571500</xdr:colOff>
          <xdr:row>11</xdr:row>
          <xdr:rowOff>66675</xdr:rowOff>
        </xdr:to>
        <xdr:sp macro="" textlink="">
          <xdr:nvSpPr>
            <xdr:cNvPr id="241665" name="Check Box 1" hidden="1">
              <a:extLst>
                <a:ext uri="{63B3BB69-23CF-44E3-9099-C40C66FF867C}">
                  <a14:compatExt spid="_x0000_s241665"/>
                </a:ext>
                <a:ext uri="{FF2B5EF4-FFF2-40B4-BE49-F238E27FC236}">
                  <a16:creationId xmlns:a16="http://schemas.microsoft.com/office/drawing/2014/main" id="{00000000-0008-0000-1A00-000001B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  <xdr:oneCellAnchor>
    <xdr:from>
      <xdr:col>11</xdr:col>
      <xdr:colOff>555625</xdr:colOff>
      <xdr:row>2</xdr:row>
      <xdr:rowOff>85725</xdr:rowOff>
    </xdr:from>
    <xdr:ext cx="1578610" cy="557530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 txBox="1"/>
      </xdr:nvSpPr>
      <xdr:spPr>
        <a:xfrm>
          <a:off x="7327900" y="409575"/>
          <a:ext cx="157861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b="1">
              <a:solidFill>
                <a:schemeClr val="accent6">
                  <a:lumMod val="75000"/>
                </a:schemeClr>
              </a:solidFill>
              <a:latin typeface="Anton" panose="00000500000000000000" charset="0"/>
              <a:cs typeface="Anton" panose="00000500000000000000" charset="0"/>
            </a:rPr>
            <a:t>TIME SHEET</a:t>
          </a:r>
        </a:p>
      </xdr:txBody>
    </xdr:sp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76835</xdr:colOff>
      <xdr:row>0</xdr:row>
      <xdr:rowOff>66675</xdr:rowOff>
    </xdr:from>
    <xdr:to>
      <xdr:col>13</xdr:col>
      <xdr:colOff>739775</xdr:colOff>
      <xdr:row>6</xdr:row>
      <xdr:rowOff>0</xdr:rowOff>
    </xdr:to>
    <xdr:pic>
      <xdr:nvPicPr>
        <xdr:cNvPr id="2" name="Picture 1" descr="2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b="35457"/>
        <a:stretch/>
      </xdr:blipFill>
      <xdr:spPr>
        <a:xfrm>
          <a:off x="76835" y="66675"/>
          <a:ext cx="9149715" cy="122872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9</xdr:row>
          <xdr:rowOff>28575</xdr:rowOff>
        </xdr:from>
        <xdr:to>
          <xdr:col>8</xdr:col>
          <xdr:colOff>571500</xdr:colOff>
          <xdr:row>11</xdr:row>
          <xdr:rowOff>66675</xdr:rowOff>
        </xdr:to>
        <xdr:sp macro="" textlink="">
          <xdr:nvSpPr>
            <xdr:cNvPr id="243713" name="Check Box 1" hidden="1">
              <a:extLst>
                <a:ext uri="{63B3BB69-23CF-44E3-9099-C40C66FF867C}">
                  <a14:compatExt spid="_x0000_s243713"/>
                </a:ext>
                <a:ext uri="{FF2B5EF4-FFF2-40B4-BE49-F238E27FC236}">
                  <a16:creationId xmlns:a16="http://schemas.microsoft.com/office/drawing/2014/main" id="{00000000-0008-0000-1B00-000001B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  <xdr:oneCellAnchor>
    <xdr:from>
      <xdr:col>11</xdr:col>
      <xdr:colOff>555625</xdr:colOff>
      <xdr:row>2</xdr:row>
      <xdr:rowOff>85725</xdr:rowOff>
    </xdr:from>
    <xdr:ext cx="1578610" cy="557530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 txBox="1"/>
      </xdr:nvSpPr>
      <xdr:spPr>
        <a:xfrm>
          <a:off x="7327900" y="409575"/>
          <a:ext cx="157861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b="1">
              <a:solidFill>
                <a:schemeClr val="accent6">
                  <a:lumMod val="75000"/>
                </a:schemeClr>
              </a:solidFill>
              <a:latin typeface="Anton" panose="00000500000000000000" charset="0"/>
              <a:cs typeface="Anton" panose="00000500000000000000" charset="0"/>
            </a:rPr>
            <a:t>TIME SHEET</a:t>
          </a:r>
        </a:p>
      </xdr:txBody>
    </xdr:sp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76835</xdr:colOff>
      <xdr:row>0</xdr:row>
      <xdr:rowOff>66675</xdr:rowOff>
    </xdr:from>
    <xdr:to>
      <xdr:col>13</xdr:col>
      <xdr:colOff>739775</xdr:colOff>
      <xdr:row>6</xdr:row>
      <xdr:rowOff>0</xdr:rowOff>
    </xdr:to>
    <xdr:pic>
      <xdr:nvPicPr>
        <xdr:cNvPr id="2" name="Picture 1" descr="2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b="35457"/>
        <a:stretch/>
      </xdr:blipFill>
      <xdr:spPr>
        <a:xfrm>
          <a:off x="76835" y="66675"/>
          <a:ext cx="9073515" cy="122872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9</xdr:row>
          <xdr:rowOff>28575</xdr:rowOff>
        </xdr:from>
        <xdr:to>
          <xdr:col>8</xdr:col>
          <xdr:colOff>571500</xdr:colOff>
          <xdr:row>11</xdr:row>
          <xdr:rowOff>66675</xdr:rowOff>
        </xdr:to>
        <xdr:sp macro="" textlink="">
          <xdr:nvSpPr>
            <xdr:cNvPr id="424961" name="Check Box 1" hidden="1">
              <a:extLst>
                <a:ext uri="{63B3BB69-23CF-44E3-9099-C40C66FF867C}">
                  <a14:compatExt spid="_x0000_s424961"/>
                </a:ext>
                <a:ext uri="{FF2B5EF4-FFF2-40B4-BE49-F238E27FC236}">
                  <a16:creationId xmlns:a16="http://schemas.microsoft.com/office/drawing/2014/main" id="{00000000-0008-0000-1C00-0000017C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  <xdr:oneCellAnchor>
    <xdr:from>
      <xdr:col>11</xdr:col>
      <xdr:colOff>555625</xdr:colOff>
      <xdr:row>2</xdr:row>
      <xdr:rowOff>85725</xdr:rowOff>
    </xdr:from>
    <xdr:ext cx="1578610" cy="557530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SpPr txBox="1"/>
      </xdr:nvSpPr>
      <xdr:spPr>
        <a:xfrm>
          <a:off x="7270750" y="409575"/>
          <a:ext cx="157861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b="1">
              <a:solidFill>
                <a:schemeClr val="accent6">
                  <a:lumMod val="75000"/>
                </a:schemeClr>
              </a:solidFill>
              <a:latin typeface="Anton" panose="00000500000000000000" charset="0"/>
              <a:cs typeface="Anton" panose="00000500000000000000" charset="0"/>
            </a:rPr>
            <a:t>TIME SHEET</a:t>
          </a:r>
        </a:p>
      </xdr:txBody>
    </xdr:sp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76835</xdr:colOff>
      <xdr:row>0</xdr:row>
      <xdr:rowOff>66675</xdr:rowOff>
    </xdr:from>
    <xdr:to>
      <xdr:col>13</xdr:col>
      <xdr:colOff>739775</xdr:colOff>
      <xdr:row>6</xdr:row>
      <xdr:rowOff>3730</xdr:rowOff>
    </xdr:to>
    <xdr:pic>
      <xdr:nvPicPr>
        <xdr:cNvPr id="2" name="Picture 1" descr="2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b="35457"/>
        <a:stretch/>
      </xdr:blipFill>
      <xdr:spPr>
        <a:xfrm>
          <a:off x="76835" y="66675"/>
          <a:ext cx="9073515" cy="122872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9</xdr:row>
          <xdr:rowOff>28575</xdr:rowOff>
        </xdr:from>
        <xdr:to>
          <xdr:col>8</xdr:col>
          <xdr:colOff>571500</xdr:colOff>
          <xdr:row>11</xdr:row>
          <xdr:rowOff>66675</xdr:rowOff>
        </xdr:to>
        <xdr:sp macro="" textlink="">
          <xdr:nvSpPr>
            <xdr:cNvPr id="347137" name="Check Box 1" hidden="1">
              <a:extLst>
                <a:ext uri="{63B3BB69-23CF-44E3-9099-C40C66FF867C}">
                  <a14:compatExt spid="_x0000_s347137"/>
                </a:ext>
                <a:ext uri="{FF2B5EF4-FFF2-40B4-BE49-F238E27FC236}">
                  <a16:creationId xmlns:a16="http://schemas.microsoft.com/office/drawing/2014/main" id="{00000000-0008-0000-1D00-0000014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  <xdr:oneCellAnchor>
    <xdr:from>
      <xdr:col>11</xdr:col>
      <xdr:colOff>555625</xdr:colOff>
      <xdr:row>2</xdr:row>
      <xdr:rowOff>85725</xdr:rowOff>
    </xdr:from>
    <xdr:ext cx="1578610" cy="557530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SpPr txBox="1"/>
      </xdr:nvSpPr>
      <xdr:spPr>
        <a:xfrm>
          <a:off x="7270750" y="409575"/>
          <a:ext cx="157861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b="1">
              <a:solidFill>
                <a:schemeClr val="accent6">
                  <a:lumMod val="75000"/>
                </a:schemeClr>
              </a:solidFill>
              <a:latin typeface="Anton" panose="00000500000000000000" charset="0"/>
              <a:cs typeface="Anton" panose="00000500000000000000" charset="0"/>
            </a:rPr>
            <a:t>TIME SHEET</a:t>
          </a:r>
        </a:p>
      </xdr:txBody>
    </xdr:sp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76835</xdr:colOff>
      <xdr:row>0</xdr:row>
      <xdr:rowOff>66675</xdr:rowOff>
    </xdr:from>
    <xdr:to>
      <xdr:col>13</xdr:col>
      <xdr:colOff>777875</xdr:colOff>
      <xdr:row>6</xdr:row>
      <xdr:rowOff>0</xdr:rowOff>
    </xdr:to>
    <xdr:pic>
      <xdr:nvPicPr>
        <xdr:cNvPr id="2" name="Picture 1" descr="2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b="35457"/>
        <a:stretch/>
      </xdr:blipFill>
      <xdr:spPr>
        <a:xfrm>
          <a:off x="76835" y="66675"/>
          <a:ext cx="9073515" cy="122872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9</xdr:row>
          <xdr:rowOff>28575</xdr:rowOff>
        </xdr:from>
        <xdr:to>
          <xdr:col>8</xdr:col>
          <xdr:colOff>571500</xdr:colOff>
          <xdr:row>11</xdr:row>
          <xdr:rowOff>66675</xdr:rowOff>
        </xdr:to>
        <xdr:sp macro="" textlink="">
          <xdr:nvSpPr>
            <xdr:cNvPr id="470017" name="Check Box 1" hidden="1">
              <a:extLst>
                <a:ext uri="{63B3BB69-23CF-44E3-9099-C40C66FF867C}">
                  <a14:compatExt spid="_x0000_s470017"/>
                </a:ext>
                <a:ext uri="{FF2B5EF4-FFF2-40B4-BE49-F238E27FC236}">
                  <a16:creationId xmlns:a16="http://schemas.microsoft.com/office/drawing/2014/main" id="{00000000-0008-0000-1E00-0000012C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  <xdr:oneCellAnchor>
    <xdr:from>
      <xdr:col>11</xdr:col>
      <xdr:colOff>555625</xdr:colOff>
      <xdr:row>2</xdr:row>
      <xdr:rowOff>85725</xdr:rowOff>
    </xdr:from>
    <xdr:ext cx="1578610" cy="557530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SpPr txBox="1"/>
      </xdr:nvSpPr>
      <xdr:spPr>
        <a:xfrm>
          <a:off x="7270750" y="409575"/>
          <a:ext cx="157861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b="1">
              <a:solidFill>
                <a:schemeClr val="accent6">
                  <a:lumMod val="75000"/>
                </a:schemeClr>
              </a:solidFill>
              <a:latin typeface="Anton" panose="00000500000000000000" charset="0"/>
              <a:cs typeface="Anton" panose="00000500000000000000" charset="0"/>
            </a:rPr>
            <a:t>TIME SHEET</a:t>
          </a:r>
        </a:p>
      </xdr:txBody>
    </xdr:sp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76835</xdr:colOff>
      <xdr:row>0</xdr:row>
      <xdr:rowOff>66675</xdr:rowOff>
    </xdr:from>
    <xdr:to>
      <xdr:col>13</xdr:col>
      <xdr:colOff>777875</xdr:colOff>
      <xdr:row>6</xdr:row>
      <xdr:rowOff>915</xdr:rowOff>
    </xdr:to>
    <xdr:pic>
      <xdr:nvPicPr>
        <xdr:cNvPr id="2" name="Picture 1" descr="2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b="35457"/>
        <a:stretch/>
      </xdr:blipFill>
      <xdr:spPr>
        <a:xfrm>
          <a:off x="76835" y="66675"/>
          <a:ext cx="9149715" cy="122872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9</xdr:row>
          <xdr:rowOff>28575</xdr:rowOff>
        </xdr:from>
        <xdr:to>
          <xdr:col>8</xdr:col>
          <xdr:colOff>571500</xdr:colOff>
          <xdr:row>11</xdr:row>
          <xdr:rowOff>66675</xdr:rowOff>
        </xdr:to>
        <xdr:sp macro="" textlink="">
          <xdr:nvSpPr>
            <xdr:cNvPr id="250881" name="Check Box 1" hidden="1">
              <a:extLst>
                <a:ext uri="{63B3BB69-23CF-44E3-9099-C40C66FF867C}">
                  <a14:compatExt spid="_x0000_s250881"/>
                </a:ext>
                <a:ext uri="{FF2B5EF4-FFF2-40B4-BE49-F238E27FC236}">
                  <a16:creationId xmlns:a16="http://schemas.microsoft.com/office/drawing/2014/main" id="{00000000-0008-0000-1F00-000001D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  <xdr:oneCellAnchor>
    <xdr:from>
      <xdr:col>11</xdr:col>
      <xdr:colOff>555625</xdr:colOff>
      <xdr:row>2</xdr:row>
      <xdr:rowOff>85725</xdr:rowOff>
    </xdr:from>
    <xdr:ext cx="1578610" cy="557530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SpPr txBox="1"/>
      </xdr:nvSpPr>
      <xdr:spPr>
        <a:xfrm>
          <a:off x="7327900" y="409575"/>
          <a:ext cx="157861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b="1">
              <a:solidFill>
                <a:schemeClr val="accent6">
                  <a:lumMod val="75000"/>
                </a:schemeClr>
              </a:solidFill>
              <a:latin typeface="Anton" panose="00000500000000000000" charset="0"/>
              <a:cs typeface="Anton" panose="00000500000000000000" charset="0"/>
            </a:rPr>
            <a:t>TIME SHEET</a:t>
          </a:r>
        </a:p>
      </xdr:txBody>
    </xdr:sp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0</xdr:row>
      <xdr:rowOff>1270</xdr:rowOff>
    </xdr:from>
    <xdr:to>
      <xdr:col>13</xdr:col>
      <xdr:colOff>663575</xdr:colOff>
      <xdr:row>5</xdr:row>
      <xdr:rowOff>285750</xdr:rowOff>
    </xdr:to>
    <xdr:pic>
      <xdr:nvPicPr>
        <xdr:cNvPr id="2" name="Picture 1" descr="2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b="34023"/>
        <a:stretch/>
      </xdr:blipFill>
      <xdr:spPr>
        <a:xfrm>
          <a:off x="635" y="1270"/>
          <a:ext cx="9149715" cy="125603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9</xdr:row>
          <xdr:rowOff>28575</xdr:rowOff>
        </xdr:from>
        <xdr:to>
          <xdr:col>8</xdr:col>
          <xdr:colOff>571500</xdr:colOff>
          <xdr:row>11</xdr:row>
          <xdr:rowOff>66675</xdr:rowOff>
        </xdr:to>
        <xdr:sp macro="" textlink="">
          <xdr:nvSpPr>
            <xdr:cNvPr id="248833" name="Check Box 1" hidden="1">
              <a:extLst>
                <a:ext uri="{63B3BB69-23CF-44E3-9099-C40C66FF867C}">
                  <a14:compatExt spid="_x0000_s248833"/>
                </a:ext>
                <a:ext uri="{FF2B5EF4-FFF2-40B4-BE49-F238E27FC236}">
                  <a16:creationId xmlns:a16="http://schemas.microsoft.com/office/drawing/2014/main" id="{00000000-0008-0000-2000-000001C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  <xdr:oneCellAnchor>
    <xdr:from>
      <xdr:col>11</xdr:col>
      <xdr:colOff>555625</xdr:colOff>
      <xdr:row>2</xdr:row>
      <xdr:rowOff>85725</xdr:rowOff>
    </xdr:from>
    <xdr:ext cx="1578610" cy="557530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SpPr txBox="1"/>
      </xdr:nvSpPr>
      <xdr:spPr>
        <a:xfrm>
          <a:off x="7327900" y="409575"/>
          <a:ext cx="157861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b="1">
              <a:solidFill>
                <a:schemeClr val="accent6">
                  <a:lumMod val="75000"/>
                </a:schemeClr>
              </a:solidFill>
              <a:latin typeface="Anton" panose="00000500000000000000" charset="0"/>
              <a:cs typeface="Anton" panose="00000500000000000000" charset="0"/>
            </a:rPr>
            <a:t>TIME SHEET</a:t>
          </a:r>
        </a:p>
      </xdr:txBody>
    </xdr:sp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76835</xdr:colOff>
      <xdr:row>0</xdr:row>
      <xdr:rowOff>66675</xdr:rowOff>
    </xdr:from>
    <xdr:to>
      <xdr:col>13</xdr:col>
      <xdr:colOff>777875</xdr:colOff>
      <xdr:row>5</xdr:row>
      <xdr:rowOff>322384</xdr:rowOff>
    </xdr:to>
    <xdr:pic>
      <xdr:nvPicPr>
        <xdr:cNvPr id="2" name="Picture 1" descr="2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b="35457"/>
        <a:stretch/>
      </xdr:blipFill>
      <xdr:spPr>
        <a:xfrm>
          <a:off x="76835" y="66675"/>
          <a:ext cx="9149715" cy="122872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9</xdr:row>
          <xdr:rowOff>28575</xdr:rowOff>
        </xdr:from>
        <xdr:to>
          <xdr:col>8</xdr:col>
          <xdr:colOff>571500</xdr:colOff>
          <xdr:row>11</xdr:row>
          <xdr:rowOff>66675</xdr:rowOff>
        </xdr:to>
        <xdr:sp macro="" textlink="">
          <xdr:nvSpPr>
            <xdr:cNvPr id="249857" name="Check Box 1" hidden="1">
              <a:extLst>
                <a:ext uri="{63B3BB69-23CF-44E3-9099-C40C66FF867C}">
                  <a14:compatExt spid="_x0000_s249857"/>
                </a:ext>
                <a:ext uri="{FF2B5EF4-FFF2-40B4-BE49-F238E27FC236}">
                  <a16:creationId xmlns:a16="http://schemas.microsoft.com/office/drawing/2014/main" id="{00000000-0008-0000-2100-000001D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  <xdr:oneCellAnchor>
    <xdr:from>
      <xdr:col>11</xdr:col>
      <xdr:colOff>555625</xdr:colOff>
      <xdr:row>2</xdr:row>
      <xdr:rowOff>85725</xdr:rowOff>
    </xdr:from>
    <xdr:ext cx="1578610" cy="557530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SpPr txBox="1"/>
      </xdr:nvSpPr>
      <xdr:spPr>
        <a:xfrm>
          <a:off x="7327900" y="409575"/>
          <a:ext cx="157861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b="1">
              <a:solidFill>
                <a:schemeClr val="accent6">
                  <a:lumMod val="75000"/>
                </a:schemeClr>
              </a:solidFill>
              <a:latin typeface="Anton" panose="00000500000000000000" charset="0"/>
              <a:cs typeface="Anton" panose="00000500000000000000" charset="0"/>
            </a:rPr>
            <a:t>TIME SHEET</a:t>
          </a:r>
        </a:p>
      </xdr:txBody>
    </xdr:sp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76835</xdr:colOff>
      <xdr:row>0</xdr:row>
      <xdr:rowOff>66675</xdr:rowOff>
    </xdr:from>
    <xdr:to>
      <xdr:col>13</xdr:col>
      <xdr:colOff>777875</xdr:colOff>
      <xdr:row>6</xdr:row>
      <xdr:rowOff>0</xdr:rowOff>
    </xdr:to>
    <xdr:pic>
      <xdr:nvPicPr>
        <xdr:cNvPr id="2" name="Picture 1" descr="2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b="35457"/>
        <a:stretch/>
      </xdr:blipFill>
      <xdr:spPr>
        <a:xfrm>
          <a:off x="76835" y="66675"/>
          <a:ext cx="9073515" cy="122872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9</xdr:row>
          <xdr:rowOff>28575</xdr:rowOff>
        </xdr:from>
        <xdr:to>
          <xdr:col>8</xdr:col>
          <xdr:colOff>571500</xdr:colOff>
          <xdr:row>11</xdr:row>
          <xdr:rowOff>66675</xdr:rowOff>
        </xdr:to>
        <xdr:sp macro="" textlink="">
          <xdr:nvSpPr>
            <xdr:cNvPr id="399361" name="Check Box 1" hidden="1">
              <a:extLst>
                <a:ext uri="{63B3BB69-23CF-44E3-9099-C40C66FF867C}">
                  <a14:compatExt spid="_x0000_s399361"/>
                </a:ext>
                <a:ext uri="{FF2B5EF4-FFF2-40B4-BE49-F238E27FC236}">
                  <a16:creationId xmlns:a16="http://schemas.microsoft.com/office/drawing/2014/main" id="{00000000-0008-0000-2200-0000011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  <xdr:oneCellAnchor>
    <xdr:from>
      <xdr:col>11</xdr:col>
      <xdr:colOff>555625</xdr:colOff>
      <xdr:row>2</xdr:row>
      <xdr:rowOff>85725</xdr:rowOff>
    </xdr:from>
    <xdr:ext cx="1578610" cy="557530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SpPr txBox="1"/>
      </xdr:nvSpPr>
      <xdr:spPr>
        <a:xfrm>
          <a:off x="7270750" y="409575"/>
          <a:ext cx="157861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b="1">
              <a:solidFill>
                <a:schemeClr val="accent6">
                  <a:lumMod val="75000"/>
                </a:schemeClr>
              </a:solidFill>
              <a:latin typeface="Anton" panose="00000500000000000000" charset="0"/>
              <a:cs typeface="Anton" panose="00000500000000000000" charset="0"/>
            </a:rPr>
            <a:t>TIME SHEET</a:t>
          </a:r>
        </a:p>
      </xdr:txBody>
    </xdr:sp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76835</xdr:colOff>
      <xdr:row>0</xdr:row>
      <xdr:rowOff>0</xdr:rowOff>
    </xdr:from>
    <xdr:to>
      <xdr:col>13</xdr:col>
      <xdr:colOff>638175</xdr:colOff>
      <xdr:row>5</xdr:row>
      <xdr:rowOff>257175</xdr:rowOff>
    </xdr:to>
    <xdr:pic>
      <xdr:nvPicPr>
        <xdr:cNvPr id="2" name="Picture 1" descr="2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b="35457"/>
        <a:stretch/>
      </xdr:blipFill>
      <xdr:spPr>
        <a:xfrm>
          <a:off x="76835" y="0"/>
          <a:ext cx="9073515" cy="122872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9</xdr:row>
          <xdr:rowOff>28575</xdr:rowOff>
        </xdr:from>
        <xdr:to>
          <xdr:col>8</xdr:col>
          <xdr:colOff>571500</xdr:colOff>
          <xdr:row>11</xdr:row>
          <xdr:rowOff>66675</xdr:rowOff>
        </xdr:to>
        <xdr:sp macro="" textlink="">
          <xdr:nvSpPr>
            <xdr:cNvPr id="345089" name="Check Box 1" hidden="1">
              <a:extLst>
                <a:ext uri="{63B3BB69-23CF-44E3-9099-C40C66FF867C}">
                  <a14:compatExt spid="_x0000_s345089"/>
                </a:ext>
                <a:ext uri="{FF2B5EF4-FFF2-40B4-BE49-F238E27FC236}">
                  <a16:creationId xmlns:a16="http://schemas.microsoft.com/office/drawing/2014/main" id="{00000000-0008-0000-2300-00000144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  <xdr:oneCellAnchor>
    <xdr:from>
      <xdr:col>11</xdr:col>
      <xdr:colOff>555625</xdr:colOff>
      <xdr:row>2</xdr:row>
      <xdr:rowOff>85725</xdr:rowOff>
    </xdr:from>
    <xdr:ext cx="1578610" cy="557530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SpPr txBox="1"/>
      </xdr:nvSpPr>
      <xdr:spPr>
        <a:xfrm>
          <a:off x="7270750" y="409575"/>
          <a:ext cx="157861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b="1">
              <a:solidFill>
                <a:schemeClr val="accent6">
                  <a:lumMod val="75000"/>
                </a:schemeClr>
              </a:solidFill>
              <a:latin typeface="Anton" panose="00000500000000000000" charset="0"/>
              <a:cs typeface="Anton" panose="00000500000000000000" charset="0"/>
            </a:rPr>
            <a:t>TIME SHEET</a:t>
          </a:r>
        </a:p>
      </xdr:txBody>
    </xdr:sp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8</xdr:row>
          <xdr:rowOff>28575</xdr:rowOff>
        </xdr:from>
        <xdr:to>
          <xdr:col>8</xdr:col>
          <xdr:colOff>571500</xdr:colOff>
          <xdr:row>10</xdr:row>
          <xdr:rowOff>66675</xdr:rowOff>
        </xdr:to>
        <xdr:sp macro="" textlink="">
          <xdr:nvSpPr>
            <xdr:cNvPr id="321537" name="Check Box 1" hidden="1">
              <a:extLst>
                <a:ext uri="{63B3BB69-23CF-44E3-9099-C40C66FF867C}">
                  <a14:compatExt spid="_x0000_s321537"/>
                </a:ext>
                <a:ext uri="{FF2B5EF4-FFF2-40B4-BE49-F238E27FC236}">
                  <a16:creationId xmlns:a16="http://schemas.microsoft.com/office/drawing/2014/main" id="{00000000-0008-0000-2400-000001E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635</xdr:colOff>
      <xdr:row>0</xdr:row>
      <xdr:rowOff>9524</xdr:rowOff>
    </xdr:from>
    <xdr:to>
      <xdr:col>13</xdr:col>
      <xdr:colOff>577850</xdr:colOff>
      <xdr:row>5</xdr:row>
      <xdr:rowOff>95249</xdr:rowOff>
    </xdr:to>
    <xdr:pic>
      <xdr:nvPicPr>
        <xdr:cNvPr id="3" name="Picture 2" descr="2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t="9440" b="35023"/>
        <a:stretch/>
      </xdr:blipFill>
      <xdr:spPr>
        <a:xfrm>
          <a:off x="635" y="9524"/>
          <a:ext cx="9083040" cy="1057275"/>
        </a:xfrm>
        <a:prstGeom prst="rect">
          <a:avLst/>
        </a:prstGeom>
      </xdr:spPr>
    </xdr:pic>
    <xdr:clientData/>
  </xdr:twoCellAnchor>
  <xdr:oneCellAnchor>
    <xdr:from>
      <xdr:col>11</xdr:col>
      <xdr:colOff>555625</xdr:colOff>
      <xdr:row>2</xdr:row>
      <xdr:rowOff>0</xdr:rowOff>
    </xdr:from>
    <xdr:ext cx="1578610" cy="557530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SpPr txBox="1"/>
      </xdr:nvSpPr>
      <xdr:spPr>
        <a:xfrm>
          <a:off x="7270750" y="323850"/>
          <a:ext cx="157861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b="1">
              <a:solidFill>
                <a:schemeClr val="accent6">
                  <a:lumMod val="75000"/>
                </a:schemeClr>
              </a:solidFill>
              <a:latin typeface="Anton" panose="00000500000000000000" charset="0"/>
              <a:cs typeface="Anton" panose="00000500000000000000" charset="0"/>
            </a:rPr>
            <a:t>TIME SHEET</a:t>
          </a:r>
        </a:p>
      </xdr:txBody>
    </xdr:sp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0</xdr:row>
      <xdr:rowOff>1270</xdr:rowOff>
    </xdr:from>
    <xdr:to>
      <xdr:col>13</xdr:col>
      <xdr:colOff>701675</xdr:colOff>
      <xdr:row>5</xdr:row>
      <xdr:rowOff>285750</xdr:rowOff>
    </xdr:to>
    <xdr:pic>
      <xdr:nvPicPr>
        <xdr:cNvPr id="2" name="Picture 1" descr="2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b="34023"/>
        <a:stretch/>
      </xdr:blipFill>
      <xdr:spPr>
        <a:xfrm>
          <a:off x="635" y="1270"/>
          <a:ext cx="9092565" cy="125603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9</xdr:row>
          <xdr:rowOff>28575</xdr:rowOff>
        </xdr:from>
        <xdr:to>
          <xdr:col>8</xdr:col>
          <xdr:colOff>571500</xdr:colOff>
          <xdr:row>11</xdr:row>
          <xdr:rowOff>66675</xdr:rowOff>
        </xdr:to>
        <xdr:sp macro="" textlink="">
          <xdr:nvSpPr>
            <xdr:cNvPr id="633857" name="Check Box 1" hidden="1">
              <a:extLst>
                <a:ext uri="{63B3BB69-23CF-44E3-9099-C40C66FF867C}">
                  <a14:compatExt spid="_x0000_s633857"/>
                </a:ext>
                <a:ext uri="{FF2B5EF4-FFF2-40B4-BE49-F238E27FC236}">
                  <a16:creationId xmlns:a16="http://schemas.microsoft.com/office/drawing/2014/main" id="{00000000-0008-0000-2500-000001AC0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  <xdr:oneCellAnchor>
    <xdr:from>
      <xdr:col>11</xdr:col>
      <xdr:colOff>555625</xdr:colOff>
      <xdr:row>2</xdr:row>
      <xdr:rowOff>85725</xdr:rowOff>
    </xdr:from>
    <xdr:ext cx="1578610" cy="557530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2300-000004000000}"/>
            </a:ext>
          </a:extLst>
        </xdr:cNvPr>
        <xdr:cNvSpPr txBox="1"/>
      </xdr:nvSpPr>
      <xdr:spPr>
        <a:xfrm>
          <a:off x="7280275" y="409575"/>
          <a:ext cx="157861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b="1">
              <a:solidFill>
                <a:schemeClr val="accent6">
                  <a:lumMod val="75000"/>
                </a:schemeClr>
              </a:solidFill>
              <a:latin typeface="Anton" panose="00000500000000000000" charset="0"/>
              <a:cs typeface="Anton" panose="00000500000000000000" charset="0"/>
            </a:rPr>
            <a:t>TIME SHEET</a:t>
          </a:r>
        </a:p>
      </xdr:txBody>
    </xdr:sp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0</xdr:row>
      <xdr:rowOff>1270</xdr:rowOff>
    </xdr:from>
    <xdr:to>
      <xdr:col>13</xdr:col>
      <xdr:colOff>701675</xdr:colOff>
      <xdr:row>5</xdr:row>
      <xdr:rowOff>285750</xdr:rowOff>
    </xdr:to>
    <xdr:pic>
      <xdr:nvPicPr>
        <xdr:cNvPr id="2" name="Picture 1" descr="2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b="34023"/>
        <a:stretch/>
      </xdr:blipFill>
      <xdr:spPr>
        <a:xfrm>
          <a:off x="635" y="1270"/>
          <a:ext cx="9092565" cy="125603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9</xdr:row>
          <xdr:rowOff>28575</xdr:rowOff>
        </xdr:from>
        <xdr:to>
          <xdr:col>8</xdr:col>
          <xdr:colOff>571500</xdr:colOff>
          <xdr:row>11</xdr:row>
          <xdr:rowOff>66675</xdr:rowOff>
        </xdr:to>
        <xdr:sp macro="" textlink="">
          <xdr:nvSpPr>
            <xdr:cNvPr id="547841" name="Check Box 1" hidden="1">
              <a:extLst>
                <a:ext uri="{63B3BB69-23CF-44E3-9099-C40C66FF867C}">
                  <a14:compatExt spid="_x0000_s547841"/>
                </a:ext>
                <a:ext uri="{FF2B5EF4-FFF2-40B4-BE49-F238E27FC236}">
                  <a16:creationId xmlns:a16="http://schemas.microsoft.com/office/drawing/2014/main" id="{00000000-0008-0000-2600-0000015C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  <xdr:oneCellAnchor>
    <xdr:from>
      <xdr:col>11</xdr:col>
      <xdr:colOff>555625</xdr:colOff>
      <xdr:row>2</xdr:row>
      <xdr:rowOff>85725</xdr:rowOff>
    </xdr:from>
    <xdr:ext cx="1578610" cy="557530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SpPr txBox="1"/>
      </xdr:nvSpPr>
      <xdr:spPr>
        <a:xfrm>
          <a:off x="7280275" y="409575"/>
          <a:ext cx="157861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b="1">
              <a:solidFill>
                <a:schemeClr val="accent6">
                  <a:lumMod val="75000"/>
                </a:schemeClr>
              </a:solidFill>
              <a:latin typeface="Anton" panose="00000500000000000000" charset="0"/>
              <a:cs typeface="Anton" panose="00000500000000000000" charset="0"/>
            </a:rPr>
            <a:t>TIME SHEET</a:t>
          </a:r>
        </a:p>
      </xdr:txBody>
    </xdr:sp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9</xdr:row>
          <xdr:rowOff>28575</xdr:rowOff>
        </xdr:from>
        <xdr:to>
          <xdr:col>8</xdr:col>
          <xdr:colOff>571500</xdr:colOff>
          <xdr:row>11</xdr:row>
          <xdr:rowOff>66675</xdr:rowOff>
        </xdr:to>
        <xdr:sp macro="" textlink="">
          <xdr:nvSpPr>
            <xdr:cNvPr id="192513" name="Check Box 1" hidden="1">
              <a:extLst>
                <a:ext uri="{63B3BB69-23CF-44E3-9099-C40C66FF867C}">
                  <a14:compatExt spid="_x0000_s192513"/>
                </a:ext>
                <a:ext uri="{FF2B5EF4-FFF2-40B4-BE49-F238E27FC236}">
                  <a16:creationId xmlns:a16="http://schemas.microsoft.com/office/drawing/2014/main" id="{00000000-0008-0000-2700-000001F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635</xdr:colOff>
      <xdr:row>0</xdr:row>
      <xdr:rowOff>1270</xdr:rowOff>
    </xdr:from>
    <xdr:to>
      <xdr:col>13</xdr:col>
      <xdr:colOff>806450</xdr:colOff>
      <xdr:row>5</xdr:row>
      <xdr:rowOff>266700</xdr:rowOff>
    </xdr:to>
    <xdr:pic>
      <xdr:nvPicPr>
        <xdr:cNvPr id="3" name="Picture 2" descr="2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b="35023"/>
        <a:stretch/>
      </xdr:blipFill>
      <xdr:spPr>
        <a:xfrm>
          <a:off x="635" y="1270"/>
          <a:ext cx="9149715" cy="1236980"/>
        </a:xfrm>
        <a:prstGeom prst="rect">
          <a:avLst/>
        </a:prstGeom>
      </xdr:spPr>
    </xdr:pic>
    <xdr:clientData/>
  </xdr:twoCellAnchor>
  <xdr:oneCellAnchor>
    <xdr:from>
      <xdr:col>11</xdr:col>
      <xdr:colOff>555625</xdr:colOff>
      <xdr:row>2</xdr:row>
      <xdr:rowOff>85725</xdr:rowOff>
    </xdr:from>
    <xdr:ext cx="1578610" cy="557530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2500-000004000000}"/>
            </a:ext>
          </a:extLst>
        </xdr:cNvPr>
        <xdr:cNvSpPr txBox="1"/>
      </xdr:nvSpPr>
      <xdr:spPr>
        <a:xfrm>
          <a:off x="6918325" y="409575"/>
          <a:ext cx="157861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b="1">
              <a:solidFill>
                <a:schemeClr val="accent6">
                  <a:lumMod val="75000"/>
                </a:schemeClr>
              </a:solidFill>
              <a:latin typeface="Anton" panose="00000500000000000000" charset="0"/>
              <a:cs typeface="Anton" panose="00000500000000000000" charset="0"/>
            </a:rPr>
            <a:t>TIME SHEET</a:t>
          </a:r>
        </a:p>
      </xdr:txBody>
    </xdr:sp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9</xdr:row>
          <xdr:rowOff>28575</xdr:rowOff>
        </xdr:from>
        <xdr:to>
          <xdr:col>8</xdr:col>
          <xdr:colOff>571500</xdr:colOff>
          <xdr:row>11</xdr:row>
          <xdr:rowOff>66675</xdr:rowOff>
        </xdr:to>
        <xdr:sp macro="" textlink="">
          <xdr:nvSpPr>
            <xdr:cNvPr id="440321" name="Check Box 1" hidden="1">
              <a:extLst>
                <a:ext uri="{63B3BB69-23CF-44E3-9099-C40C66FF867C}">
                  <a14:compatExt spid="_x0000_s440321"/>
                </a:ext>
                <a:ext uri="{FF2B5EF4-FFF2-40B4-BE49-F238E27FC236}">
                  <a16:creationId xmlns:a16="http://schemas.microsoft.com/office/drawing/2014/main" id="{00000000-0008-0000-2800-000001B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635</xdr:colOff>
      <xdr:row>0</xdr:row>
      <xdr:rowOff>1270</xdr:rowOff>
    </xdr:from>
    <xdr:to>
      <xdr:col>13</xdr:col>
      <xdr:colOff>701675</xdr:colOff>
      <xdr:row>5</xdr:row>
      <xdr:rowOff>285750</xdr:rowOff>
    </xdr:to>
    <xdr:pic>
      <xdr:nvPicPr>
        <xdr:cNvPr id="3" name="Picture 2" descr="2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b="34023"/>
        <a:stretch/>
      </xdr:blipFill>
      <xdr:spPr>
        <a:xfrm>
          <a:off x="635" y="1270"/>
          <a:ext cx="9073515" cy="1256030"/>
        </a:xfrm>
        <a:prstGeom prst="rect">
          <a:avLst/>
        </a:prstGeom>
      </xdr:spPr>
    </xdr:pic>
    <xdr:clientData/>
  </xdr:twoCellAnchor>
  <xdr:oneCellAnchor>
    <xdr:from>
      <xdr:col>11</xdr:col>
      <xdr:colOff>555625</xdr:colOff>
      <xdr:row>2</xdr:row>
      <xdr:rowOff>85725</xdr:rowOff>
    </xdr:from>
    <xdr:ext cx="1578610" cy="557530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2600-000004000000}"/>
            </a:ext>
          </a:extLst>
        </xdr:cNvPr>
        <xdr:cNvSpPr txBox="1"/>
      </xdr:nvSpPr>
      <xdr:spPr>
        <a:xfrm>
          <a:off x="7270750" y="409575"/>
          <a:ext cx="157861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b="1">
              <a:solidFill>
                <a:schemeClr val="accent6">
                  <a:lumMod val="75000"/>
                </a:schemeClr>
              </a:solidFill>
              <a:latin typeface="Anton" panose="00000500000000000000" charset="0"/>
              <a:cs typeface="Anton" panose="00000500000000000000" charset="0"/>
            </a:rPr>
            <a:t>TIME SHEET</a:t>
          </a:r>
        </a:p>
      </xdr:txBody>
    </xdr:sp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76835</xdr:colOff>
      <xdr:row>0</xdr:row>
      <xdr:rowOff>66675</xdr:rowOff>
    </xdr:from>
    <xdr:to>
      <xdr:col>13</xdr:col>
      <xdr:colOff>739775</xdr:colOff>
      <xdr:row>6</xdr:row>
      <xdr:rowOff>0</xdr:rowOff>
    </xdr:to>
    <xdr:pic>
      <xdr:nvPicPr>
        <xdr:cNvPr id="2" name="Picture 1" descr="2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b="35457"/>
        <a:stretch/>
      </xdr:blipFill>
      <xdr:spPr>
        <a:xfrm>
          <a:off x="76835" y="66675"/>
          <a:ext cx="9092565" cy="122872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9</xdr:row>
          <xdr:rowOff>28575</xdr:rowOff>
        </xdr:from>
        <xdr:to>
          <xdr:col>8</xdr:col>
          <xdr:colOff>571500</xdr:colOff>
          <xdr:row>11</xdr:row>
          <xdr:rowOff>66675</xdr:rowOff>
        </xdr:to>
        <xdr:sp macro="" textlink="">
          <xdr:nvSpPr>
            <xdr:cNvPr id="505857" name="Check Box 1" hidden="1">
              <a:extLst>
                <a:ext uri="{63B3BB69-23CF-44E3-9099-C40C66FF867C}">
                  <a14:compatExt spid="_x0000_s505857"/>
                </a:ext>
                <a:ext uri="{FF2B5EF4-FFF2-40B4-BE49-F238E27FC236}">
                  <a16:creationId xmlns:a16="http://schemas.microsoft.com/office/drawing/2014/main" id="{00000000-0008-0000-2900-000001B8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  <xdr:oneCellAnchor>
    <xdr:from>
      <xdr:col>11</xdr:col>
      <xdr:colOff>555625</xdr:colOff>
      <xdr:row>2</xdr:row>
      <xdr:rowOff>85725</xdr:rowOff>
    </xdr:from>
    <xdr:ext cx="1578610" cy="557530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2700-000004000000}"/>
            </a:ext>
          </a:extLst>
        </xdr:cNvPr>
        <xdr:cNvSpPr txBox="1"/>
      </xdr:nvSpPr>
      <xdr:spPr>
        <a:xfrm>
          <a:off x="7280275" y="409575"/>
          <a:ext cx="157861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b="1">
              <a:solidFill>
                <a:schemeClr val="accent6">
                  <a:lumMod val="75000"/>
                </a:schemeClr>
              </a:solidFill>
              <a:latin typeface="Anton" panose="00000500000000000000" charset="0"/>
              <a:cs typeface="Anton" panose="00000500000000000000" charset="0"/>
            </a:rPr>
            <a:t>TIME SHEET</a:t>
          </a:r>
        </a:p>
      </xdr:txBody>
    </xdr:sp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180975</xdr:colOff>
          <xdr:row>8</xdr:row>
          <xdr:rowOff>28575</xdr:rowOff>
        </xdr:from>
        <xdr:to>
          <xdr:col>8</xdr:col>
          <xdr:colOff>66675</xdr:colOff>
          <xdr:row>10</xdr:row>
          <xdr:rowOff>66675</xdr:rowOff>
        </xdr:to>
        <xdr:sp macro="" textlink="">
          <xdr:nvSpPr>
            <xdr:cNvPr id="87041" name="Check Box 1" hidden="1">
              <a:extLst>
                <a:ext uri="{63B3BB69-23CF-44E3-9099-C40C66FF867C}">
                  <a14:compatExt spid="_x0000_s87041"/>
                </a:ext>
                <a:ext uri="{FF2B5EF4-FFF2-40B4-BE49-F238E27FC236}">
                  <a16:creationId xmlns:a16="http://schemas.microsoft.com/office/drawing/2014/main" id="{00000000-0008-0000-2A00-000001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0</xdr:row>
      <xdr:rowOff>19050</xdr:rowOff>
    </xdr:from>
    <xdr:to>
      <xdr:col>12</xdr:col>
      <xdr:colOff>681355</xdr:colOff>
      <xdr:row>5</xdr:row>
      <xdr:rowOff>95250</xdr:rowOff>
    </xdr:to>
    <xdr:pic>
      <xdr:nvPicPr>
        <xdr:cNvPr id="2" name="Picture 1" descr="2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b="36159"/>
        <a:stretch/>
      </xdr:blipFill>
      <xdr:spPr>
        <a:xfrm>
          <a:off x="0" y="19050"/>
          <a:ext cx="8206105" cy="1209675"/>
        </a:xfrm>
        <a:prstGeom prst="rect">
          <a:avLst/>
        </a:prstGeom>
      </xdr:spPr>
    </xdr:pic>
    <xdr:clientData/>
  </xdr:twoCellAnchor>
  <xdr:oneCellAnchor>
    <xdr:from>
      <xdr:col>10</xdr:col>
      <xdr:colOff>472440</xdr:colOff>
      <xdr:row>2</xdr:row>
      <xdr:rowOff>85725</xdr:rowOff>
    </xdr:from>
    <xdr:ext cx="1578610" cy="557530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2800-000004000000}"/>
            </a:ext>
          </a:extLst>
        </xdr:cNvPr>
        <xdr:cNvSpPr txBox="1"/>
      </xdr:nvSpPr>
      <xdr:spPr>
        <a:xfrm>
          <a:off x="6358890" y="409575"/>
          <a:ext cx="157861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b="1">
              <a:solidFill>
                <a:schemeClr val="accent6">
                  <a:lumMod val="75000"/>
                </a:schemeClr>
              </a:solidFill>
              <a:latin typeface="Anton" panose="00000500000000000000" charset="0"/>
              <a:cs typeface="Anton" panose="00000500000000000000" charset="0"/>
            </a:rPr>
            <a:t>TIME SHEET</a:t>
          </a:r>
        </a:p>
      </xdr:txBody>
    </xdr:sp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76835</xdr:colOff>
      <xdr:row>0</xdr:row>
      <xdr:rowOff>66675</xdr:rowOff>
    </xdr:from>
    <xdr:to>
      <xdr:col>13</xdr:col>
      <xdr:colOff>777875</xdr:colOff>
      <xdr:row>6</xdr:row>
      <xdr:rowOff>0</xdr:rowOff>
    </xdr:to>
    <xdr:pic>
      <xdr:nvPicPr>
        <xdr:cNvPr id="2" name="Picture 1" descr="2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b="35457"/>
        <a:stretch/>
      </xdr:blipFill>
      <xdr:spPr>
        <a:xfrm>
          <a:off x="76835" y="66675"/>
          <a:ext cx="9092565" cy="122872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9</xdr:row>
          <xdr:rowOff>28575</xdr:rowOff>
        </xdr:from>
        <xdr:to>
          <xdr:col>8</xdr:col>
          <xdr:colOff>571500</xdr:colOff>
          <xdr:row>11</xdr:row>
          <xdr:rowOff>66675</xdr:rowOff>
        </xdr:to>
        <xdr:sp macro="" textlink="">
          <xdr:nvSpPr>
            <xdr:cNvPr id="580609" name="Check Box 1" hidden="1">
              <a:extLst>
                <a:ext uri="{63B3BB69-23CF-44E3-9099-C40C66FF867C}">
                  <a14:compatExt spid="_x0000_s580609"/>
                </a:ext>
                <a:ext uri="{FF2B5EF4-FFF2-40B4-BE49-F238E27FC236}">
                  <a16:creationId xmlns:a16="http://schemas.microsoft.com/office/drawing/2014/main" id="{00000000-0008-0000-2B00-000001DC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  <xdr:oneCellAnchor>
    <xdr:from>
      <xdr:col>11</xdr:col>
      <xdr:colOff>555625</xdr:colOff>
      <xdr:row>2</xdr:row>
      <xdr:rowOff>85725</xdr:rowOff>
    </xdr:from>
    <xdr:ext cx="1578610" cy="557530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SpPr txBox="1"/>
      </xdr:nvSpPr>
      <xdr:spPr>
        <a:xfrm>
          <a:off x="7280275" y="409575"/>
          <a:ext cx="157861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b="1">
              <a:solidFill>
                <a:schemeClr val="accent6">
                  <a:lumMod val="75000"/>
                </a:schemeClr>
              </a:solidFill>
              <a:latin typeface="Anton" panose="00000500000000000000" charset="0"/>
              <a:cs typeface="Anton" panose="00000500000000000000" charset="0"/>
            </a:rPr>
            <a:t>TIME SHEET</a:t>
          </a:r>
        </a:p>
      </xdr:txBody>
    </xdr:sp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9</xdr:row>
          <xdr:rowOff>28575</xdr:rowOff>
        </xdr:from>
        <xdr:to>
          <xdr:col>8</xdr:col>
          <xdr:colOff>571500</xdr:colOff>
          <xdr:row>11</xdr:row>
          <xdr:rowOff>66675</xdr:rowOff>
        </xdr:to>
        <xdr:sp macro="" textlink="">
          <xdr:nvSpPr>
            <xdr:cNvPr id="504833" name="Check Box 1" hidden="1">
              <a:extLst>
                <a:ext uri="{63B3BB69-23CF-44E3-9099-C40C66FF867C}">
                  <a14:compatExt spid="_x0000_s504833"/>
                </a:ext>
                <a:ext uri="{FF2B5EF4-FFF2-40B4-BE49-F238E27FC236}">
                  <a16:creationId xmlns:a16="http://schemas.microsoft.com/office/drawing/2014/main" id="{00000000-0008-0000-2C00-000001B4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635</xdr:colOff>
      <xdr:row>0</xdr:row>
      <xdr:rowOff>1270</xdr:rowOff>
    </xdr:from>
    <xdr:to>
      <xdr:col>13</xdr:col>
      <xdr:colOff>701675</xdr:colOff>
      <xdr:row>5</xdr:row>
      <xdr:rowOff>285750</xdr:rowOff>
    </xdr:to>
    <xdr:pic>
      <xdr:nvPicPr>
        <xdr:cNvPr id="3" name="Picture 2" descr="2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b="34023"/>
        <a:stretch/>
      </xdr:blipFill>
      <xdr:spPr>
        <a:xfrm>
          <a:off x="635" y="1270"/>
          <a:ext cx="9092565" cy="1256030"/>
        </a:xfrm>
        <a:prstGeom prst="rect">
          <a:avLst/>
        </a:prstGeom>
      </xdr:spPr>
    </xdr:pic>
    <xdr:clientData/>
  </xdr:twoCellAnchor>
  <xdr:oneCellAnchor>
    <xdr:from>
      <xdr:col>11</xdr:col>
      <xdr:colOff>555625</xdr:colOff>
      <xdr:row>2</xdr:row>
      <xdr:rowOff>85725</xdr:rowOff>
    </xdr:from>
    <xdr:ext cx="1578610" cy="557530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SpPr txBox="1"/>
      </xdr:nvSpPr>
      <xdr:spPr>
        <a:xfrm>
          <a:off x="7280275" y="409575"/>
          <a:ext cx="157861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b="1">
              <a:solidFill>
                <a:schemeClr val="accent6">
                  <a:lumMod val="75000"/>
                </a:schemeClr>
              </a:solidFill>
              <a:latin typeface="Anton" panose="00000500000000000000" charset="0"/>
              <a:cs typeface="Anton" panose="00000500000000000000" charset="0"/>
            </a:rPr>
            <a:t>TIME SHEET</a:t>
          </a:r>
        </a:p>
      </xdr:txBody>
    </xdr:sp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76835</xdr:colOff>
      <xdr:row>0</xdr:row>
      <xdr:rowOff>66675</xdr:rowOff>
    </xdr:from>
    <xdr:to>
      <xdr:col>13</xdr:col>
      <xdr:colOff>777875</xdr:colOff>
      <xdr:row>6</xdr:row>
      <xdr:rowOff>0</xdr:rowOff>
    </xdr:to>
    <xdr:pic>
      <xdr:nvPicPr>
        <xdr:cNvPr id="2" name="Picture 1" descr="2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b="35457"/>
        <a:stretch/>
      </xdr:blipFill>
      <xdr:spPr>
        <a:xfrm>
          <a:off x="76835" y="66675"/>
          <a:ext cx="9073515" cy="122872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9</xdr:row>
          <xdr:rowOff>28575</xdr:rowOff>
        </xdr:from>
        <xdr:to>
          <xdr:col>8</xdr:col>
          <xdr:colOff>571500</xdr:colOff>
          <xdr:row>11</xdr:row>
          <xdr:rowOff>66675</xdr:rowOff>
        </xdr:to>
        <xdr:sp macro="" textlink="">
          <xdr:nvSpPr>
            <xdr:cNvPr id="471041" name="Check Box 1" hidden="1">
              <a:extLst>
                <a:ext uri="{63B3BB69-23CF-44E3-9099-C40C66FF867C}">
                  <a14:compatExt spid="_x0000_s471041"/>
                </a:ext>
                <a:ext uri="{FF2B5EF4-FFF2-40B4-BE49-F238E27FC236}">
                  <a16:creationId xmlns:a16="http://schemas.microsoft.com/office/drawing/2014/main" id="{00000000-0008-0000-2D00-000001300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  <xdr:oneCellAnchor>
    <xdr:from>
      <xdr:col>11</xdr:col>
      <xdr:colOff>555625</xdr:colOff>
      <xdr:row>2</xdr:row>
      <xdr:rowOff>85725</xdr:rowOff>
    </xdr:from>
    <xdr:ext cx="1578610" cy="557530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2B00-000004000000}"/>
            </a:ext>
          </a:extLst>
        </xdr:cNvPr>
        <xdr:cNvSpPr txBox="1"/>
      </xdr:nvSpPr>
      <xdr:spPr>
        <a:xfrm>
          <a:off x="7270750" y="409575"/>
          <a:ext cx="157861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b="1">
              <a:solidFill>
                <a:schemeClr val="accent6">
                  <a:lumMod val="75000"/>
                </a:schemeClr>
              </a:solidFill>
              <a:latin typeface="Anton" panose="00000500000000000000" charset="0"/>
              <a:cs typeface="Anton" panose="00000500000000000000" charset="0"/>
            </a:rPr>
            <a:t>TIME SHEET</a:t>
          </a:r>
        </a:p>
      </xdr:txBody>
    </xdr:sp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76835</xdr:colOff>
      <xdr:row>0</xdr:row>
      <xdr:rowOff>66675</xdr:rowOff>
    </xdr:from>
    <xdr:to>
      <xdr:col>13</xdr:col>
      <xdr:colOff>739775</xdr:colOff>
      <xdr:row>6</xdr:row>
      <xdr:rowOff>0</xdr:rowOff>
    </xdr:to>
    <xdr:pic>
      <xdr:nvPicPr>
        <xdr:cNvPr id="2" name="Picture 1" descr="2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b="35457"/>
        <a:stretch/>
      </xdr:blipFill>
      <xdr:spPr>
        <a:xfrm>
          <a:off x="76835" y="66675"/>
          <a:ext cx="9073515" cy="122872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9</xdr:row>
          <xdr:rowOff>28575</xdr:rowOff>
        </xdr:from>
        <xdr:to>
          <xdr:col>8</xdr:col>
          <xdr:colOff>571500</xdr:colOff>
          <xdr:row>11</xdr:row>
          <xdr:rowOff>66675</xdr:rowOff>
        </xdr:to>
        <xdr:sp macro="" textlink="">
          <xdr:nvSpPr>
            <xdr:cNvPr id="388097" name="Check Box 1" hidden="1">
              <a:extLst>
                <a:ext uri="{63B3BB69-23CF-44E3-9099-C40C66FF867C}">
                  <a14:compatExt spid="_x0000_s388097"/>
                </a:ext>
                <a:ext uri="{FF2B5EF4-FFF2-40B4-BE49-F238E27FC236}">
                  <a16:creationId xmlns:a16="http://schemas.microsoft.com/office/drawing/2014/main" id="{00000000-0008-0000-2E00-000001E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  <xdr:oneCellAnchor>
    <xdr:from>
      <xdr:col>11</xdr:col>
      <xdr:colOff>555625</xdr:colOff>
      <xdr:row>2</xdr:row>
      <xdr:rowOff>85725</xdr:rowOff>
    </xdr:from>
    <xdr:ext cx="1578610" cy="557530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2C00-000004000000}"/>
            </a:ext>
          </a:extLst>
        </xdr:cNvPr>
        <xdr:cNvSpPr txBox="1"/>
      </xdr:nvSpPr>
      <xdr:spPr>
        <a:xfrm>
          <a:off x="7270750" y="409575"/>
          <a:ext cx="157861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b="1">
              <a:solidFill>
                <a:schemeClr val="accent6">
                  <a:lumMod val="75000"/>
                </a:schemeClr>
              </a:solidFill>
              <a:latin typeface="Anton" panose="00000500000000000000" charset="0"/>
              <a:cs typeface="Anton" panose="00000500000000000000" charset="0"/>
            </a:rPr>
            <a:t>TIME SHEET</a:t>
          </a:r>
        </a:p>
      </xdr:txBody>
    </xdr:sp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8</xdr:row>
          <xdr:rowOff>28575</xdr:rowOff>
        </xdr:from>
        <xdr:to>
          <xdr:col>8</xdr:col>
          <xdr:colOff>571500</xdr:colOff>
          <xdr:row>10</xdr:row>
          <xdr:rowOff>66675</xdr:rowOff>
        </xdr:to>
        <xdr:sp macro="" textlink="">
          <xdr:nvSpPr>
            <xdr:cNvPr id="288769" name="Check Box 1" hidden="1">
              <a:extLst>
                <a:ext uri="{63B3BB69-23CF-44E3-9099-C40C66FF867C}">
                  <a14:compatExt spid="_x0000_s288769"/>
                </a:ext>
                <a:ext uri="{FF2B5EF4-FFF2-40B4-BE49-F238E27FC236}">
                  <a16:creationId xmlns:a16="http://schemas.microsoft.com/office/drawing/2014/main" id="{00000000-0008-0000-2F00-0000016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635</xdr:colOff>
      <xdr:row>0</xdr:row>
      <xdr:rowOff>635</xdr:rowOff>
    </xdr:from>
    <xdr:to>
      <xdr:col>13</xdr:col>
      <xdr:colOff>492125</xdr:colOff>
      <xdr:row>5</xdr:row>
      <xdr:rowOff>28575</xdr:rowOff>
    </xdr:to>
    <xdr:pic>
      <xdr:nvPicPr>
        <xdr:cNvPr id="3" name="Picture 2" descr="2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b="34990"/>
        <a:stretch/>
      </xdr:blipFill>
      <xdr:spPr>
        <a:xfrm>
          <a:off x="635" y="635"/>
          <a:ext cx="9197340" cy="1237615"/>
        </a:xfrm>
        <a:prstGeom prst="rect">
          <a:avLst/>
        </a:prstGeom>
      </xdr:spPr>
    </xdr:pic>
    <xdr:clientData/>
  </xdr:twoCellAnchor>
  <xdr:oneCellAnchor>
    <xdr:from>
      <xdr:col>11</xdr:col>
      <xdr:colOff>496570</xdr:colOff>
      <xdr:row>2</xdr:row>
      <xdr:rowOff>57150</xdr:rowOff>
    </xdr:from>
    <xdr:ext cx="1578610" cy="557530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2D00-000004000000}"/>
            </a:ext>
          </a:extLst>
        </xdr:cNvPr>
        <xdr:cNvSpPr txBox="1"/>
      </xdr:nvSpPr>
      <xdr:spPr>
        <a:xfrm>
          <a:off x="7259320" y="381000"/>
          <a:ext cx="157861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b="1">
              <a:solidFill>
                <a:schemeClr val="accent6">
                  <a:lumMod val="75000"/>
                </a:schemeClr>
              </a:solidFill>
              <a:latin typeface="Anton" panose="00000500000000000000" charset="0"/>
              <a:cs typeface="Anton" panose="00000500000000000000" charset="0"/>
            </a:rPr>
            <a:t>TIME SHEET</a:t>
          </a:r>
        </a:p>
      </xdr:txBody>
    </xdr:sp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7</xdr:row>
          <xdr:rowOff>28575</xdr:rowOff>
        </xdr:from>
        <xdr:to>
          <xdr:col>8</xdr:col>
          <xdr:colOff>571500</xdr:colOff>
          <xdr:row>9</xdr:row>
          <xdr:rowOff>66675</xdr:rowOff>
        </xdr:to>
        <xdr:sp macro="" textlink="">
          <xdr:nvSpPr>
            <xdr:cNvPr id="116737" name="Check Box 1" hidden="1">
              <a:extLst>
                <a:ext uri="{63B3BB69-23CF-44E3-9099-C40C66FF867C}">
                  <a14:compatExt spid="_x0000_s116737"/>
                </a:ext>
                <a:ext uri="{FF2B5EF4-FFF2-40B4-BE49-F238E27FC236}">
                  <a16:creationId xmlns:a16="http://schemas.microsoft.com/office/drawing/2014/main" id="{00000000-0008-0000-3000-000001C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257175</xdr:colOff>
      <xdr:row>0</xdr:row>
      <xdr:rowOff>0</xdr:rowOff>
    </xdr:from>
    <xdr:to>
      <xdr:col>13</xdr:col>
      <xdr:colOff>561975</xdr:colOff>
      <xdr:row>4</xdr:row>
      <xdr:rowOff>6756</xdr:rowOff>
    </xdr:to>
    <xdr:pic>
      <xdr:nvPicPr>
        <xdr:cNvPr id="2" name="Picture 1" descr="2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t="9694" b="34991"/>
        <a:stretch/>
      </xdr:blipFill>
      <xdr:spPr>
        <a:xfrm>
          <a:off x="390525" y="0"/>
          <a:ext cx="8467725" cy="978306"/>
        </a:xfrm>
        <a:prstGeom prst="rect">
          <a:avLst/>
        </a:prstGeom>
      </xdr:spPr>
    </xdr:pic>
    <xdr:clientData/>
  </xdr:twoCellAnchor>
  <xdr:oneCellAnchor>
    <xdr:from>
      <xdr:col>11</xdr:col>
      <xdr:colOff>496570</xdr:colOff>
      <xdr:row>2</xdr:row>
      <xdr:rowOff>57150</xdr:rowOff>
    </xdr:from>
    <xdr:ext cx="1578610" cy="557530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2E00-000004000000}"/>
            </a:ext>
          </a:extLst>
        </xdr:cNvPr>
        <xdr:cNvSpPr txBox="1"/>
      </xdr:nvSpPr>
      <xdr:spPr>
        <a:xfrm>
          <a:off x="6859270" y="381000"/>
          <a:ext cx="157861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b="1">
              <a:solidFill>
                <a:schemeClr val="accent6">
                  <a:lumMod val="75000"/>
                </a:schemeClr>
              </a:solidFill>
              <a:latin typeface="Anton" panose="00000500000000000000" charset="0"/>
              <a:cs typeface="Anton" panose="00000500000000000000" charset="0"/>
            </a:rPr>
            <a:t>TIME SHEET</a:t>
          </a:r>
        </a:p>
      </xdr:txBody>
    </xdr:sp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0</xdr:row>
      <xdr:rowOff>1270</xdr:rowOff>
    </xdr:from>
    <xdr:to>
      <xdr:col>13</xdr:col>
      <xdr:colOff>701675</xdr:colOff>
      <xdr:row>5</xdr:row>
      <xdr:rowOff>285750</xdr:rowOff>
    </xdr:to>
    <xdr:pic>
      <xdr:nvPicPr>
        <xdr:cNvPr id="2" name="Picture 1" descr="2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b="34023"/>
        <a:stretch/>
      </xdr:blipFill>
      <xdr:spPr>
        <a:xfrm>
          <a:off x="635" y="1270"/>
          <a:ext cx="9073515" cy="125603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9</xdr:row>
          <xdr:rowOff>28575</xdr:rowOff>
        </xdr:from>
        <xdr:to>
          <xdr:col>8</xdr:col>
          <xdr:colOff>571500</xdr:colOff>
          <xdr:row>11</xdr:row>
          <xdr:rowOff>66675</xdr:rowOff>
        </xdr:to>
        <xdr:sp macro="" textlink="">
          <xdr:nvSpPr>
            <xdr:cNvPr id="376833" name="Check Box 1" hidden="1">
              <a:extLst>
                <a:ext uri="{63B3BB69-23CF-44E3-9099-C40C66FF867C}">
                  <a14:compatExt spid="_x0000_s376833"/>
                </a:ext>
                <a:ext uri="{FF2B5EF4-FFF2-40B4-BE49-F238E27FC236}">
                  <a16:creationId xmlns:a16="http://schemas.microsoft.com/office/drawing/2014/main" id="{00000000-0008-0000-3100-000001C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  <xdr:oneCellAnchor>
    <xdr:from>
      <xdr:col>11</xdr:col>
      <xdr:colOff>555625</xdr:colOff>
      <xdr:row>2</xdr:row>
      <xdr:rowOff>85725</xdr:rowOff>
    </xdr:from>
    <xdr:ext cx="1578610" cy="557530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2F00-000004000000}"/>
            </a:ext>
          </a:extLst>
        </xdr:cNvPr>
        <xdr:cNvSpPr txBox="1"/>
      </xdr:nvSpPr>
      <xdr:spPr>
        <a:xfrm>
          <a:off x="7270750" y="409575"/>
          <a:ext cx="157861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b="1">
              <a:solidFill>
                <a:schemeClr val="accent6">
                  <a:lumMod val="75000"/>
                </a:schemeClr>
              </a:solidFill>
              <a:latin typeface="Anton" panose="00000500000000000000" charset="0"/>
              <a:cs typeface="Anton" panose="00000500000000000000" charset="0"/>
            </a:rPr>
            <a:t>TIME SHEET</a:t>
          </a:r>
        </a:p>
      </xdr:txBody>
    </xdr:sp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9</xdr:row>
          <xdr:rowOff>28575</xdr:rowOff>
        </xdr:from>
        <xdr:to>
          <xdr:col>8</xdr:col>
          <xdr:colOff>571500</xdr:colOff>
          <xdr:row>11</xdr:row>
          <xdr:rowOff>66675</xdr:rowOff>
        </xdr:to>
        <xdr:sp macro="" textlink="">
          <xdr:nvSpPr>
            <xdr:cNvPr id="322561" name="Check Box 1" hidden="1">
              <a:extLst>
                <a:ext uri="{63B3BB69-23CF-44E3-9099-C40C66FF867C}">
                  <a14:compatExt spid="_x0000_s322561"/>
                </a:ext>
                <a:ext uri="{FF2B5EF4-FFF2-40B4-BE49-F238E27FC236}">
                  <a16:creationId xmlns:a16="http://schemas.microsoft.com/office/drawing/2014/main" id="{00000000-0008-0000-3200-000001EC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635</xdr:colOff>
      <xdr:row>0</xdr:row>
      <xdr:rowOff>1270</xdr:rowOff>
    </xdr:from>
    <xdr:to>
      <xdr:col>13</xdr:col>
      <xdr:colOff>577850</xdr:colOff>
      <xdr:row>5</xdr:row>
      <xdr:rowOff>266700</xdr:rowOff>
    </xdr:to>
    <xdr:pic>
      <xdr:nvPicPr>
        <xdr:cNvPr id="3" name="Picture 2" descr="2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b="35023"/>
        <a:stretch/>
      </xdr:blipFill>
      <xdr:spPr>
        <a:xfrm>
          <a:off x="635" y="1270"/>
          <a:ext cx="9083040" cy="1236980"/>
        </a:xfrm>
        <a:prstGeom prst="rect">
          <a:avLst/>
        </a:prstGeom>
      </xdr:spPr>
    </xdr:pic>
    <xdr:clientData/>
  </xdr:twoCellAnchor>
  <xdr:oneCellAnchor>
    <xdr:from>
      <xdr:col>11</xdr:col>
      <xdr:colOff>555625</xdr:colOff>
      <xdr:row>2</xdr:row>
      <xdr:rowOff>85725</xdr:rowOff>
    </xdr:from>
    <xdr:ext cx="1578610" cy="557530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3000-000004000000}"/>
            </a:ext>
          </a:extLst>
        </xdr:cNvPr>
        <xdr:cNvSpPr txBox="1"/>
      </xdr:nvSpPr>
      <xdr:spPr>
        <a:xfrm>
          <a:off x="7270750" y="409575"/>
          <a:ext cx="157861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b="1">
              <a:solidFill>
                <a:schemeClr val="accent6">
                  <a:lumMod val="75000"/>
                </a:schemeClr>
              </a:solidFill>
              <a:latin typeface="Anton" panose="00000500000000000000" charset="0"/>
              <a:cs typeface="Anton" panose="00000500000000000000" charset="0"/>
            </a:rPr>
            <a:t>TIME SHEET</a:t>
          </a:r>
        </a:p>
      </xdr:txBody>
    </xdr:sp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0</xdr:row>
      <xdr:rowOff>1270</xdr:rowOff>
    </xdr:from>
    <xdr:to>
      <xdr:col>13</xdr:col>
      <xdr:colOff>701675</xdr:colOff>
      <xdr:row>5</xdr:row>
      <xdr:rowOff>285750</xdr:rowOff>
    </xdr:to>
    <xdr:pic>
      <xdr:nvPicPr>
        <xdr:cNvPr id="2" name="Picture 1" descr="2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b="34023"/>
        <a:stretch/>
      </xdr:blipFill>
      <xdr:spPr>
        <a:xfrm>
          <a:off x="635" y="1270"/>
          <a:ext cx="9073515" cy="125603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9</xdr:row>
          <xdr:rowOff>28575</xdr:rowOff>
        </xdr:from>
        <xdr:to>
          <xdr:col>8</xdr:col>
          <xdr:colOff>571500</xdr:colOff>
          <xdr:row>11</xdr:row>
          <xdr:rowOff>66675</xdr:rowOff>
        </xdr:to>
        <xdr:sp macro="" textlink="">
          <xdr:nvSpPr>
            <xdr:cNvPr id="380929" name="Check Box 1" hidden="1">
              <a:extLst>
                <a:ext uri="{63B3BB69-23CF-44E3-9099-C40C66FF867C}">
                  <a14:compatExt spid="_x0000_s380929"/>
                </a:ext>
                <a:ext uri="{FF2B5EF4-FFF2-40B4-BE49-F238E27FC236}">
                  <a16:creationId xmlns:a16="http://schemas.microsoft.com/office/drawing/2014/main" id="{00000000-0008-0000-3300-000001D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  <xdr:oneCellAnchor>
    <xdr:from>
      <xdr:col>11</xdr:col>
      <xdr:colOff>555625</xdr:colOff>
      <xdr:row>2</xdr:row>
      <xdr:rowOff>85725</xdr:rowOff>
    </xdr:from>
    <xdr:ext cx="1578610" cy="557530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3100-000004000000}"/>
            </a:ext>
          </a:extLst>
        </xdr:cNvPr>
        <xdr:cNvSpPr txBox="1"/>
      </xdr:nvSpPr>
      <xdr:spPr>
        <a:xfrm>
          <a:off x="7270750" y="409575"/>
          <a:ext cx="157861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b="1">
              <a:solidFill>
                <a:schemeClr val="accent6">
                  <a:lumMod val="75000"/>
                </a:schemeClr>
              </a:solidFill>
              <a:latin typeface="Anton" panose="00000500000000000000" charset="0"/>
              <a:cs typeface="Anton" panose="00000500000000000000" charset="0"/>
            </a:rPr>
            <a:t>TIME SHEET</a:t>
          </a:r>
        </a:p>
      </xdr:txBody>
    </xdr:sp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9</xdr:row>
          <xdr:rowOff>28575</xdr:rowOff>
        </xdr:from>
        <xdr:to>
          <xdr:col>8</xdr:col>
          <xdr:colOff>571500</xdr:colOff>
          <xdr:row>11</xdr:row>
          <xdr:rowOff>66675</xdr:rowOff>
        </xdr:to>
        <xdr:sp macro="" textlink="">
          <xdr:nvSpPr>
            <xdr:cNvPr id="59393" name="Check Box 1" hidden="1">
              <a:extLst>
                <a:ext uri="{63B3BB69-23CF-44E3-9099-C40C66FF867C}">
                  <a14:compatExt spid="_x0000_s59393"/>
                </a:ext>
                <a:ext uri="{FF2B5EF4-FFF2-40B4-BE49-F238E27FC236}">
                  <a16:creationId xmlns:a16="http://schemas.microsoft.com/office/drawing/2014/main" id="{00000000-0008-0000-3400-000001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9525</xdr:colOff>
      <xdr:row>0</xdr:row>
      <xdr:rowOff>9525</xdr:rowOff>
    </xdr:from>
    <xdr:to>
      <xdr:col>13</xdr:col>
      <xdr:colOff>233680</xdr:colOff>
      <xdr:row>6</xdr:row>
      <xdr:rowOff>95250</xdr:rowOff>
    </xdr:to>
    <xdr:pic>
      <xdr:nvPicPr>
        <xdr:cNvPr id="2" name="Picture 1" descr="2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b="35354"/>
        <a:stretch/>
      </xdr:blipFill>
      <xdr:spPr>
        <a:xfrm>
          <a:off x="9525" y="9525"/>
          <a:ext cx="9196705" cy="1219200"/>
        </a:xfrm>
        <a:prstGeom prst="rect">
          <a:avLst/>
        </a:prstGeom>
      </xdr:spPr>
    </xdr:pic>
    <xdr:clientData/>
  </xdr:twoCellAnchor>
  <xdr:oneCellAnchor>
    <xdr:from>
      <xdr:col>11</xdr:col>
      <xdr:colOff>177165</xdr:colOff>
      <xdr:row>3</xdr:row>
      <xdr:rowOff>9525</xdr:rowOff>
    </xdr:from>
    <xdr:ext cx="1578610" cy="557530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3200-000004000000}"/>
            </a:ext>
          </a:extLst>
        </xdr:cNvPr>
        <xdr:cNvSpPr txBox="1"/>
      </xdr:nvSpPr>
      <xdr:spPr>
        <a:xfrm>
          <a:off x="6930390" y="495300"/>
          <a:ext cx="157861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b="1">
              <a:solidFill>
                <a:schemeClr val="accent6">
                  <a:lumMod val="75000"/>
                </a:schemeClr>
              </a:solidFill>
              <a:latin typeface="Anton" panose="00000500000000000000" charset="0"/>
              <a:cs typeface="Anton" panose="00000500000000000000" charset="0"/>
            </a:rPr>
            <a:t>TIME SHEET</a:t>
          </a:r>
        </a:p>
      </xdr:txBody>
    </xdr:sp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9</xdr:row>
          <xdr:rowOff>28575</xdr:rowOff>
        </xdr:from>
        <xdr:to>
          <xdr:col>8</xdr:col>
          <xdr:colOff>571500</xdr:colOff>
          <xdr:row>11</xdr:row>
          <xdr:rowOff>66675</xdr:rowOff>
        </xdr:to>
        <xdr:sp macro="" textlink="">
          <xdr:nvSpPr>
            <xdr:cNvPr id="119809" name="Check Box 1" hidden="1">
              <a:extLst>
                <a:ext uri="{63B3BB69-23CF-44E3-9099-C40C66FF867C}">
                  <a14:compatExt spid="_x0000_s119809"/>
                </a:ext>
                <a:ext uri="{FF2B5EF4-FFF2-40B4-BE49-F238E27FC236}">
                  <a16:creationId xmlns:a16="http://schemas.microsoft.com/office/drawing/2014/main" id="{00000000-0008-0000-3500-000001D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578485</xdr:colOff>
      <xdr:row>0</xdr:row>
      <xdr:rowOff>635</xdr:rowOff>
    </xdr:from>
    <xdr:to>
      <xdr:col>13</xdr:col>
      <xdr:colOff>210820</xdr:colOff>
      <xdr:row>5</xdr:row>
      <xdr:rowOff>314325</xdr:rowOff>
    </xdr:to>
    <xdr:pic>
      <xdr:nvPicPr>
        <xdr:cNvPr id="2" name="Picture 1" descr="2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b="32488"/>
        <a:stretch/>
      </xdr:blipFill>
      <xdr:spPr>
        <a:xfrm>
          <a:off x="578485" y="635"/>
          <a:ext cx="9233535" cy="1285240"/>
        </a:xfrm>
        <a:prstGeom prst="rect">
          <a:avLst/>
        </a:prstGeom>
      </xdr:spPr>
    </xdr:pic>
    <xdr:clientData/>
  </xdr:twoCellAnchor>
  <xdr:oneCellAnchor>
    <xdr:from>
      <xdr:col>10</xdr:col>
      <xdr:colOff>593725</xdr:colOff>
      <xdr:row>2</xdr:row>
      <xdr:rowOff>26670</xdr:rowOff>
    </xdr:from>
    <xdr:ext cx="1578610" cy="557530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3300-000004000000}"/>
            </a:ext>
          </a:extLst>
        </xdr:cNvPr>
        <xdr:cNvSpPr txBox="1"/>
      </xdr:nvSpPr>
      <xdr:spPr>
        <a:xfrm>
          <a:off x="7367905" y="350520"/>
          <a:ext cx="157861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b="1">
              <a:solidFill>
                <a:schemeClr val="accent6">
                  <a:lumMod val="75000"/>
                </a:schemeClr>
              </a:solidFill>
              <a:latin typeface="Anton" panose="00000500000000000000" charset="0"/>
              <a:cs typeface="Anton" panose="00000500000000000000" charset="0"/>
            </a:rPr>
            <a:t>TIME SHEET</a:t>
          </a:r>
        </a:p>
      </xdr:txBody>
    </xdr:sp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9</xdr:row>
          <xdr:rowOff>28575</xdr:rowOff>
        </xdr:from>
        <xdr:to>
          <xdr:col>8</xdr:col>
          <xdr:colOff>571500</xdr:colOff>
          <xdr:row>11</xdr:row>
          <xdr:rowOff>66675</xdr:rowOff>
        </xdr:to>
        <xdr:sp macro="" textlink="">
          <xdr:nvSpPr>
            <xdr:cNvPr id="215041" name="Check Box 1" hidden="1">
              <a:extLst>
                <a:ext uri="{63B3BB69-23CF-44E3-9099-C40C66FF867C}">
                  <a14:compatExt spid="_x0000_s215041"/>
                </a:ext>
                <a:ext uri="{FF2B5EF4-FFF2-40B4-BE49-F238E27FC236}">
                  <a16:creationId xmlns:a16="http://schemas.microsoft.com/office/drawing/2014/main" id="{00000000-0008-0000-3600-0000014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Weekends paid at overtime rate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635</xdr:colOff>
      <xdr:row>0</xdr:row>
      <xdr:rowOff>1270</xdr:rowOff>
    </xdr:from>
    <xdr:to>
      <xdr:col>13</xdr:col>
      <xdr:colOff>673100</xdr:colOff>
      <xdr:row>5</xdr:row>
      <xdr:rowOff>285750</xdr:rowOff>
    </xdr:to>
    <xdr:pic>
      <xdr:nvPicPr>
        <xdr:cNvPr id="3" name="Picture 2" descr="2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b="34023"/>
        <a:stretch/>
      </xdr:blipFill>
      <xdr:spPr>
        <a:xfrm>
          <a:off x="635" y="1270"/>
          <a:ext cx="9149715" cy="1256030"/>
        </a:xfrm>
        <a:prstGeom prst="rect">
          <a:avLst/>
        </a:prstGeom>
      </xdr:spPr>
    </xdr:pic>
    <xdr:clientData/>
  </xdr:twoCellAnchor>
  <xdr:oneCellAnchor>
    <xdr:from>
      <xdr:col>11</xdr:col>
      <xdr:colOff>555625</xdr:colOff>
      <xdr:row>2</xdr:row>
      <xdr:rowOff>85725</xdr:rowOff>
    </xdr:from>
    <xdr:ext cx="1578610" cy="557530"/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3400-000004000000}"/>
            </a:ext>
          </a:extLst>
        </xdr:cNvPr>
        <xdr:cNvSpPr txBox="1"/>
      </xdr:nvSpPr>
      <xdr:spPr>
        <a:xfrm>
          <a:off x="6918325" y="409575"/>
          <a:ext cx="1578610" cy="557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800" b="1">
              <a:solidFill>
                <a:schemeClr val="accent6">
                  <a:lumMod val="75000"/>
                </a:schemeClr>
              </a:solidFill>
              <a:latin typeface="Anton" panose="00000500000000000000" charset="0"/>
              <a:cs typeface="Anton" panose="00000500000000000000" charset="0"/>
            </a:rPr>
            <a:t>TIME SHEET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trumpexcel.com/excel-templates/" TargetMode="External"/><Relationship Id="rId1" Type="http://schemas.openxmlformats.org/officeDocument/2006/relationships/hyperlink" Target="http://www.trumpexcel.com/2015/07/employee-timesheet-calculator-template" TargetMode="External"/><Relationship Id="rId6" Type="http://schemas.openxmlformats.org/officeDocument/2006/relationships/ctrlProp" Target="../ctrlProps/ctrlProp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trumpexcel.com/excel-templates/" TargetMode="External"/><Relationship Id="rId1" Type="http://schemas.openxmlformats.org/officeDocument/2006/relationships/hyperlink" Target="http://www.trumpexcel.com/2015/07/employee-timesheet-calculator-template" TargetMode="External"/><Relationship Id="rId6" Type="http://schemas.openxmlformats.org/officeDocument/2006/relationships/ctrlProp" Target="../ctrlProps/ctrlProp2.xml"/><Relationship Id="rId5" Type="http://schemas.openxmlformats.org/officeDocument/2006/relationships/vmlDrawing" Target="../drawings/vmlDrawing2.v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Relationship Id="rId4" Type="http://schemas.openxmlformats.org/officeDocument/2006/relationships/ctrlProp" Target="../ctrlProps/ctrlProp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Relationship Id="rId4" Type="http://schemas.openxmlformats.org/officeDocument/2006/relationships/ctrlProp" Target="../ctrlProps/ctrlProp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Relationship Id="rId4" Type="http://schemas.openxmlformats.org/officeDocument/2006/relationships/ctrlProp" Target="../ctrlProps/ctrlProp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Relationship Id="rId4" Type="http://schemas.openxmlformats.org/officeDocument/2006/relationships/ctrlProp" Target="../ctrlProps/ctrlProp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Relationship Id="rId4" Type="http://schemas.openxmlformats.org/officeDocument/2006/relationships/ctrlProp" Target="../ctrlProps/ctrlProp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Relationship Id="rId4" Type="http://schemas.openxmlformats.org/officeDocument/2006/relationships/ctrlProp" Target="../ctrlProps/ctrlProp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Relationship Id="rId4" Type="http://schemas.openxmlformats.org/officeDocument/2006/relationships/ctrlProp" Target="../ctrlProps/ctrlProp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Relationship Id="rId4" Type="http://schemas.openxmlformats.org/officeDocument/2006/relationships/ctrlProp" Target="../ctrlProps/ctrlProp1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Relationship Id="rId4" Type="http://schemas.openxmlformats.org/officeDocument/2006/relationships/ctrlProp" Target="../ctrlProps/ctrlProp1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Relationship Id="rId4" Type="http://schemas.openxmlformats.org/officeDocument/2006/relationships/ctrlProp" Target="../ctrlProps/ctrlProp1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Relationship Id="rId4" Type="http://schemas.openxmlformats.org/officeDocument/2006/relationships/ctrlProp" Target="../ctrlProps/ctrlProp1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Relationship Id="rId4" Type="http://schemas.openxmlformats.org/officeDocument/2006/relationships/ctrlProp" Target="../ctrlProps/ctrlProp1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4.bin"/><Relationship Id="rId4" Type="http://schemas.openxmlformats.org/officeDocument/2006/relationships/ctrlProp" Target="../ctrlProps/ctrlProp1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5.bin"/><Relationship Id="rId4" Type="http://schemas.openxmlformats.org/officeDocument/2006/relationships/ctrlProp" Target="../ctrlProps/ctrlProp1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6.bin"/><Relationship Id="rId4" Type="http://schemas.openxmlformats.org/officeDocument/2006/relationships/ctrlProp" Target="../ctrlProps/ctrlProp1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7.bin"/><Relationship Id="rId4" Type="http://schemas.openxmlformats.org/officeDocument/2006/relationships/ctrlProp" Target="../ctrlProps/ctrlProp1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8.bin"/><Relationship Id="rId4" Type="http://schemas.openxmlformats.org/officeDocument/2006/relationships/ctrlProp" Target="../ctrlProps/ctrlProp1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9.bin"/><Relationship Id="rId4" Type="http://schemas.openxmlformats.org/officeDocument/2006/relationships/ctrlProp" Target="../ctrlProps/ctrlProp2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0.bin"/><Relationship Id="rId4" Type="http://schemas.openxmlformats.org/officeDocument/2006/relationships/ctrlProp" Target="../ctrlProps/ctrlProp21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1.bin"/><Relationship Id="rId4" Type="http://schemas.openxmlformats.org/officeDocument/2006/relationships/ctrlProp" Target="../ctrlProps/ctrlProp22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2.bin"/><Relationship Id="rId4" Type="http://schemas.openxmlformats.org/officeDocument/2006/relationships/ctrlProp" Target="../ctrlProps/ctrlProp23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3.bin"/><Relationship Id="rId4" Type="http://schemas.openxmlformats.org/officeDocument/2006/relationships/ctrlProp" Target="../ctrlProps/ctrlProp24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4.bin"/><Relationship Id="rId4" Type="http://schemas.openxmlformats.org/officeDocument/2006/relationships/ctrlProp" Target="../ctrlProps/ctrlProp25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5.bin"/><Relationship Id="rId4" Type="http://schemas.openxmlformats.org/officeDocument/2006/relationships/ctrlProp" Target="../ctrlProps/ctrlProp26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6.bin"/><Relationship Id="rId4" Type="http://schemas.openxmlformats.org/officeDocument/2006/relationships/ctrlProp" Target="../ctrlProps/ctrlProp27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7.bin"/><Relationship Id="rId4" Type="http://schemas.openxmlformats.org/officeDocument/2006/relationships/ctrlProp" Target="../ctrlProps/ctrlProp28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8.bin"/><Relationship Id="rId4" Type="http://schemas.openxmlformats.org/officeDocument/2006/relationships/ctrlProp" Target="../ctrlProps/ctrlProp29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9.bin"/><Relationship Id="rId4" Type="http://schemas.openxmlformats.org/officeDocument/2006/relationships/ctrlProp" Target="../ctrlProps/ctrlProp30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40.bin"/><Relationship Id="rId4" Type="http://schemas.openxmlformats.org/officeDocument/2006/relationships/ctrlProp" Target="../ctrlProps/ctrlProp31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1.bin"/><Relationship Id="rId4" Type="http://schemas.openxmlformats.org/officeDocument/2006/relationships/ctrlProp" Target="../ctrlProps/ctrlProp32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2.bin"/><Relationship Id="rId4" Type="http://schemas.openxmlformats.org/officeDocument/2006/relationships/ctrlProp" Target="../ctrlProps/ctrlProp33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3.bin"/><Relationship Id="rId4" Type="http://schemas.openxmlformats.org/officeDocument/2006/relationships/ctrlProp" Target="../ctrlProps/ctrlProp34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5.vml"/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4.bin"/><Relationship Id="rId4" Type="http://schemas.openxmlformats.org/officeDocument/2006/relationships/ctrlProp" Target="../ctrlProps/ctrlProp35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6.vml"/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5.bin"/><Relationship Id="rId4" Type="http://schemas.openxmlformats.org/officeDocument/2006/relationships/ctrlProp" Target="../ctrlProps/ctrlProp36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7.vml"/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6.bin"/><Relationship Id="rId4" Type="http://schemas.openxmlformats.org/officeDocument/2006/relationships/ctrlProp" Target="../ctrlProps/ctrlProp37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8.vml"/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7.bin"/><Relationship Id="rId4" Type="http://schemas.openxmlformats.org/officeDocument/2006/relationships/ctrlProp" Target="../ctrlProps/ctrlProp38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9.vml"/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8.bin"/><Relationship Id="rId4" Type="http://schemas.openxmlformats.org/officeDocument/2006/relationships/ctrlProp" Target="../ctrlProps/ctrlProp39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0.vml"/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9.bin"/><Relationship Id="rId4" Type="http://schemas.openxmlformats.org/officeDocument/2006/relationships/ctrlProp" Target="../ctrlProps/ctrlProp40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1.vml"/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50.bin"/><Relationship Id="rId4" Type="http://schemas.openxmlformats.org/officeDocument/2006/relationships/ctrlProp" Target="../ctrlProps/ctrlProp41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2.vml"/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1.bin"/><Relationship Id="rId4" Type="http://schemas.openxmlformats.org/officeDocument/2006/relationships/ctrlProp" Target="../ctrlProps/ctrlProp42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3.vml"/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2.bin"/><Relationship Id="rId4" Type="http://schemas.openxmlformats.org/officeDocument/2006/relationships/ctrlProp" Target="../ctrlProps/ctrlProp43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4.vml"/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3.bin"/><Relationship Id="rId4" Type="http://schemas.openxmlformats.org/officeDocument/2006/relationships/ctrlProp" Target="../ctrlProps/ctrlProp44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5.vml"/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4.bin"/><Relationship Id="rId4" Type="http://schemas.openxmlformats.org/officeDocument/2006/relationships/ctrlProp" Target="../ctrlProps/ctrlProp4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L28"/>
  <sheetViews>
    <sheetView showGridLines="0" workbookViewId="0">
      <selection activeCell="I6" sqref="I6:K6"/>
    </sheetView>
  </sheetViews>
  <sheetFormatPr defaultColWidth="9" defaultRowHeight="12.75"/>
  <cols>
    <col min="1" max="1" width="0.875" customWidth="1"/>
    <col min="2" max="2" width="7.125" customWidth="1"/>
    <col min="3" max="3" width="8.625" customWidth="1"/>
    <col min="4" max="9" width="11.625" customWidth="1"/>
    <col min="10" max="10" width="22.125" hidden="1" customWidth="1"/>
    <col min="11" max="11" width="12.375" customWidth="1"/>
    <col min="12" max="12" width="17.875" customWidth="1"/>
    <col min="13" max="13" width="19.125" customWidth="1"/>
  </cols>
  <sheetData>
    <row r="1" spans="2:12" ht="25.5" customHeight="1">
      <c r="B1" s="228" t="s">
        <v>0</v>
      </c>
      <c r="C1" s="229"/>
      <c r="D1" s="228"/>
      <c r="E1" s="228"/>
      <c r="F1" s="228"/>
      <c r="G1" s="228"/>
      <c r="H1" s="229"/>
      <c r="J1" s="47"/>
    </row>
    <row r="2" spans="2:12" s="47" customFormat="1" ht="25.5" customHeight="1">
      <c r="B2" s="230" t="s">
        <v>1</v>
      </c>
      <c r="C2" s="248"/>
      <c r="D2" s="248"/>
      <c r="E2" s="248"/>
      <c r="F2" s="248"/>
      <c r="G2" s="231"/>
      <c r="H2" s="231"/>
      <c r="J2" s="247" t="s">
        <v>2</v>
      </c>
    </row>
    <row r="3" spans="2:12" ht="18.75" customHeight="1">
      <c r="B3" s="527" t="s">
        <v>3</v>
      </c>
      <c r="C3" s="527"/>
      <c r="D3" s="528" t="s">
        <v>4</v>
      </c>
      <c r="E3" s="528"/>
      <c r="F3" s="528"/>
      <c r="G3" s="528"/>
    </row>
    <row r="4" spans="2:12" ht="18.75" customHeight="1">
      <c r="B4" s="527" t="s">
        <v>5</v>
      </c>
      <c r="C4" s="527"/>
      <c r="D4" s="528" t="s">
        <v>6</v>
      </c>
      <c r="E4" s="528"/>
      <c r="F4" s="528"/>
      <c r="G4" s="528"/>
      <c r="J4" s="525" t="s">
        <v>7</v>
      </c>
    </row>
    <row r="5" spans="2:12" ht="18.75" customHeight="1">
      <c r="B5" s="527" t="s">
        <v>8</v>
      </c>
      <c r="C5" s="527"/>
      <c r="D5" s="528" t="s">
        <v>9</v>
      </c>
      <c r="E5" s="528"/>
      <c r="F5" s="528"/>
      <c r="G5" s="528"/>
      <c r="J5" s="526"/>
    </row>
    <row r="6" spans="2:12">
      <c r="B6" s="52"/>
      <c r="C6" s="53"/>
      <c r="D6" s="53"/>
    </row>
    <row r="7" spans="2:12">
      <c r="B7" s="52"/>
      <c r="C7" s="53"/>
      <c r="D7" s="53"/>
    </row>
    <row r="8" spans="2:12">
      <c r="C8" s="54" t="s">
        <v>10</v>
      </c>
      <c r="D8" s="54" t="s">
        <v>11</v>
      </c>
      <c r="E8" s="54" t="s">
        <v>12</v>
      </c>
      <c r="F8" s="55" t="s">
        <v>13</v>
      </c>
    </row>
    <row r="9" spans="2:12">
      <c r="C9" s="56">
        <v>2021</v>
      </c>
      <c r="D9" s="56" t="s">
        <v>14</v>
      </c>
      <c r="E9" s="56">
        <v>1</v>
      </c>
      <c r="F9" s="56" t="s">
        <v>15</v>
      </c>
    </row>
    <row r="10" spans="2:12">
      <c r="C10" s="57"/>
      <c r="D10" s="57"/>
      <c r="G10" s="57"/>
      <c r="H10" s="57"/>
    </row>
    <row r="11" spans="2:12" ht="27" customHeight="1">
      <c r="C11" s="58" t="s">
        <v>16</v>
      </c>
      <c r="D11" s="58" t="s">
        <v>17</v>
      </c>
      <c r="E11" s="58" t="s">
        <v>18</v>
      </c>
      <c r="F11" s="58" t="s">
        <v>19</v>
      </c>
    </row>
    <row r="12" spans="2:12">
      <c r="C12" s="61">
        <v>0.33333333333333298</v>
      </c>
      <c r="D12" s="62">
        <v>9</v>
      </c>
      <c r="E12" s="249">
        <f>576.71/8</f>
        <v>72.088750000000005</v>
      </c>
      <c r="F12" s="63">
        <f>(E12*25%)+E12</f>
        <v>90.110937500000006</v>
      </c>
      <c r="L12" s="250"/>
    </row>
    <row r="13" spans="2:12">
      <c r="I13" s="96"/>
    </row>
    <row r="15" spans="2:12">
      <c r="B15" s="232" t="s">
        <v>20</v>
      </c>
      <c r="C15" s="232" t="s">
        <v>12</v>
      </c>
      <c r="D15" s="232" t="s">
        <v>21</v>
      </c>
      <c r="E15" s="232" t="s">
        <v>22</v>
      </c>
      <c r="F15" s="232" t="s">
        <v>23</v>
      </c>
      <c r="G15" s="232" t="s">
        <v>24</v>
      </c>
      <c r="H15" s="232" t="s">
        <v>25</v>
      </c>
      <c r="I15" s="232" t="s">
        <v>26</v>
      </c>
    </row>
    <row r="16" spans="2:12">
      <c r="B16" s="233">
        <f>DATE($C$9,MATCH($D$9,Data!$B$2:$B$13,0),'Weekly Timesheet'!$E$9)</f>
        <v>44228</v>
      </c>
      <c r="C16" s="234">
        <f>DATE($C$9,MATCH($D$9,Data!$B$2:$B$13,0),'Weekly Timesheet'!$E$9)</f>
        <v>44228</v>
      </c>
      <c r="D16" s="235">
        <v>0.33333333333333298</v>
      </c>
      <c r="E16" s="235">
        <v>0.70833333333333304</v>
      </c>
      <c r="F16" s="236">
        <v>1</v>
      </c>
      <c r="G16" s="236">
        <f>IFERROR(IF(AND(D16&lt;&gt;"",E16&lt;&gt;""),IF(D16&gt;$C$12+TIME($D$12,($D$12-INT($D$12))*60,0),0,IF(E16&gt;$C$12+TIME($D$12,($D$12-INT($D$12))*60,0),MIN(TIME($D$12,($D$12-INT($D$12))*60,0),($C$12+TIME($D$12,($D$12-INT($D$12))*60,0)-D16)),MIN(IF((E16-$C$12)&lt;0,0,(E16-$C$12)),(E16-D16))))*24,"")-F16,"")</f>
        <v>8.0000000000000018</v>
      </c>
      <c r="H16" s="236">
        <f>IF(AND(D16&lt;&gt;"",E16&lt;&gt;""),((IF(D16&lt;$C$12,MIN($C$12-D16,E16-D16),0)+IF(E16&gt;$C$12+TIME($D$12,($D$12-INT($D$12))*60,0),MIN((E16-$C$12-TIME($D$12,($D$12-INT($D$12))*60,0)),(E16-D16)),0))*24),"")</f>
        <v>0</v>
      </c>
      <c r="I16" s="236">
        <f>IFERROR(G16*IF(AND(ISNUMBER(SEARCH(TEXT(B16,"ddd"),$F$9)),Data!$F$2),$F$12,$E$12)+H16*$F$12,"")</f>
        <v>576.71000000000015</v>
      </c>
      <c r="J16" s="96"/>
      <c r="K16" s="96"/>
    </row>
    <row r="17" spans="2:10">
      <c r="B17" s="233">
        <f>B16+1</f>
        <v>44229</v>
      </c>
      <c r="C17" s="234">
        <f>C16+1</f>
        <v>44229</v>
      </c>
      <c r="D17" s="235">
        <v>0.33333333333333298</v>
      </c>
      <c r="E17" s="235">
        <v>0.70833333333333304</v>
      </c>
      <c r="F17" s="236">
        <v>1</v>
      </c>
      <c r="G17" s="236">
        <f t="shared" ref="G17:G22" si="0">IFERROR(IF(AND(D17&lt;&gt;"",E17&lt;&gt;""),IF(D17&gt;$C$12+TIME($D$12,($D$12-INT($D$12))*60,0),0,IF(E17&gt;$C$12+TIME($D$12,($D$12-INT($D$12))*60,0),MIN(TIME($D$12,($D$12-INT($D$12))*60,0),($C$12+TIME($D$12,($D$12-INT($D$12))*60,0)-D17)),MIN(IF((E17-$C$12)&lt;0,0,(E17-$C$12)),(E17-D17))))*24,"")-F17,"")</f>
        <v>8.0000000000000018</v>
      </c>
      <c r="H17" s="236">
        <f t="shared" ref="H17:H22" si="1">IF(AND(D17&lt;&gt;"",E17&lt;&gt;""),((IF(D17&lt;$C$12,MIN($C$12-D17,E17-D17),0)+IF(E17&gt;$C$12+TIME($D$12,($D$12-INT($D$12))*60,0),MIN((E17-$C$12-TIME($D$12,($D$12-INT($D$12))*60,0)),(E17-D17)),0))*24),"")</f>
        <v>0</v>
      </c>
      <c r="I17" s="236">
        <f>IFERROR(G17*IF(AND(ISNUMBER(SEARCH(TEXT(B17,"ddd"),$F$9)),Data!$F$2),$F$12,$E$12)+H17*$F$12,"")</f>
        <v>576.71000000000015</v>
      </c>
      <c r="J17" s="96"/>
    </row>
    <row r="18" spans="2:10">
      <c r="B18" s="233">
        <f t="shared" ref="B18:C22" si="2">B17+1</f>
        <v>44230</v>
      </c>
      <c r="C18" s="234">
        <f t="shared" si="2"/>
        <v>44230</v>
      </c>
      <c r="D18" s="235">
        <v>0.33333333333333298</v>
      </c>
      <c r="E18" s="235">
        <v>0.70833333333333304</v>
      </c>
      <c r="F18" s="236">
        <v>1</v>
      </c>
      <c r="G18" s="236">
        <f t="shared" si="0"/>
        <v>8.0000000000000018</v>
      </c>
      <c r="H18" s="236">
        <f t="shared" si="1"/>
        <v>0</v>
      </c>
      <c r="I18" s="236">
        <f>IFERROR(G18*IF(AND(ISNUMBER(SEARCH(TEXT(B18,"ddd"),$F$9)),Data!$F$2),$F$12,$E$12)+H18*$F$12,"")</f>
        <v>576.71000000000015</v>
      </c>
      <c r="J18" s="96"/>
    </row>
    <row r="19" spans="2:10">
      <c r="B19" s="233">
        <f t="shared" si="2"/>
        <v>44231</v>
      </c>
      <c r="C19" s="234">
        <f t="shared" si="2"/>
        <v>44231</v>
      </c>
      <c r="D19" s="235">
        <v>0.33333333333333298</v>
      </c>
      <c r="E19" s="235">
        <v>0.70833333333333304</v>
      </c>
      <c r="F19" s="236">
        <v>1</v>
      </c>
      <c r="G19" s="236">
        <f t="shared" si="0"/>
        <v>8.0000000000000018</v>
      </c>
      <c r="H19" s="236">
        <f t="shared" si="1"/>
        <v>0</v>
      </c>
      <c r="I19" s="236">
        <f>IFERROR(G19*IF(AND(ISNUMBER(SEARCH(TEXT(B19,"ddd"),$F$9)),Data!$F$2),$F$12,$E$12)+H19*$F$12,"")</f>
        <v>576.71000000000015</v>
      </c>
    </row>
    <row r="20" spans="2:10">
      <c r="B20" s="233">
        <f t="shared" si="2"/>
        <v>44232</v>
      </c>
      <c r="C20" s="234">
        <f t="shared" si="2"/>
        <v>44232</v>
      </c>
      <c r="D20" s="235">
        <v>0.33333333333333298</v>
      </c>
      <c r="E20" s="235">
        <v>0.70833333333333304</v>
      </c>
      <c r="F20" s="236">
        <v>1</v>
      </c>
      <c r="G20" s="236">
        <f t="shared" si="0"/>
        <v>8.0000000000000018</v>
      </c>
      <c r="H20" s="236">
        <f t="shared" si="1"/>
        <v>0</v>
      </c>
      <c r="I20" s="236">
        <f>IFERROR(G20*IF(AND(ISNUMBER(SEARCH(TEXT(B20,"ddd"),$F$9)),Data!$F$2),$F$12,$E$12)+H20*$F$12,"")</f>
        <v>576.71000000000015</v>
      </c>
    </row>
    <row r="21" spans="2:10">
      <c r="B21" s="233">
        <f t="shared" si="2"/>
        <v>44233</v>
      </c>
      <c r="C21" s="234">
        <f t="shared" si="2"/>
        <v>44233</v>
      </c>
      <c r="D21" s="235">
        <v>0.33333333333333298</v>
      </c>
      <c r="E21" s="235">
        <v>0.70833333333333304</v>
      </c>
      <c r="F21" s="236">
        <v>1</v>
      </c>
      <c r="G21" s="236">
        <f t="shared" si="0"/>
        <v>8.0000000000000018</v>
      </c>
      <c r="H21" s="236">
        <f t="shared" si="1"/>
        <v>0</v>
      </c>
      <c r="I21" s="236">
        <f>IFERROR(G21*IF(AND(ISNUMBER(SEARCH(TEXT(B21,"ddd"),$F$9)),Data!$F$2),$F$12,$E$12)+H21*$F$12,"")</f>
        <v>720.88750000000016</v>
      </c>
    </row>
    <row r="22" spans="2:10">
      <c r="B22" s="233">
        <f t="shared" si="2"/>
        <v>44234</v>
      </c>
      <c r="C22" s="234">
        <f t="shared" si="2"/>
        <v>44234</v>
      </c>
      <c r="D22" s="235"/>
      <c r="E22" s="235"/>
      <c r="F22" s="236"/>
      <c r="G22" s="236" t="str">
        <f t="shared" si="0"/>
        <v/>
      </c>
      <c r="H22" s="236" t="str">
        <f t="shared" si="1"/>
        <v/>
      </c>
      <c r="I22" s="236" t="str">
        <f>IFERROR(G22*IF(AND(ISNUMBER(SEARCH(TEXT(B22,"ddd"),$F$9)),Data!$F$2),$F$12,$E$12)+H22*$F$12,"")</f>
        <v/>
      </c>
    </row>
    <row r="23" spans="2:10">
      <c r="B23" s="241"/>
      <c r="C23" s="242"/>
      <c r="D23" s="241"/>
      <c r="E23" s="241"/>
      <c r="F23" s="241"/>
      <c r="G23" s="241"/>
      <c r="H23" s="241"/>
      <c r="I23" s="241"/>
    </row>
    <row r="24" spans="2:10">
      <c r="C24" s="88"/>
      <c r="D24" s="243"/>
      <c r="E24" s="244" t="s">
        <v>27</v>
      </c>
      <c r="F24" s="245">
        <f>SUM(F16:F22)</f>
        <v>6</v>
      </c>
      <c r="G24" s="245">
        <f>SUM(G16:G22)</f>
        <v>48.000000000000007</v>
      </c>
      <c r="H24" s="246">
        <f>SUM(H16:H22)</f>
        <v>0</v>
      </c>
      <c r="I24" s="246">
        <f>SUM(I16:I22)</f>
        <v>3604.4375000000009</v>
      </c>
    </row>
    <row r="28" spans="2:10">
      <c r="G28" s="136"/>
    </row>
  </sheetData>
  <mergeCells count="7">
    <mergeCell ref="J4:J5"/>
    <mergeCell ref="B3:C3"/>
    <mergeCell ref="D3:G3"/>
    <mergeCell ref="B4:C4"/>
    <mergeCell ref="D4:G4"/>
    <mergeCell ref="B5:C5"/>
    <mergeCell ref="D5:G5"/>
  </mergeCells>
  <conditionalFormatting sqref="B16:I22">
    <cfRule type="expression" dxfId="292" priority="1">
      <formula>ISNUMBER(SEARCH(TEXT($B16,"ddd"),$F$9))</formula>
    </cfRule>
  </conditionalFormatting>
  <dataValidations count="3">
    <dataValidation type="list" allowBlank="1" showInputMessage="1" showErrorMessage="1" sqref="E9" xr:uid="{00000000-0002-0000-0000-000000000000}">
      <formula1>DateCalc</formula1>
    </dataValidation>
    <dataValidation type="custom" allowBlank="1" showInputMessage="1" showErrorMessage="1" sqref="D16:D22" xr:uid="{00000000-0002-0000-0000-000001000000}">
      <formula1>AND($D16&lt;=1,ISNUMBER($D16))</formula1>
    </dataValidation>
    <dataValidation type="custom" allowBlank="1" showInputMessage="1" showErrorMessage="1" sqref="E16:E22" xr:uid="{00000000-0002-0000-0000-000002000000}">
      <formula1>AND($E16&lt;=1,ISNUMBER($E16),($E16&gt;=$D16))</formula1>
    </dataValidation>
  </dataValidations>
  <hyperlinks>
    <hyperlink ref="J2" r:id="rId1" xr:uid="{00000000-0004-0000-0000-000000000000}"/>
    <hyperlink ref="J4:J5" r:id="rId2" display="Visit TrumpExcel.com for more Excel Templates" xr:uid="{00000000-0004-0000-0000-000001000000}"/>
  </hyperlinks>
  <pageMargins left="0.25" right="0.25" top="0.75" bottom="0.75" header="0.3" footer="0.3"/>
  <pageSetup paperSize="9" orientation="portrait" r:id="rId3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6" name="Check Box 2">
              <controlPr defaultSize="0" print="0" autoPict="0">
                <anchor moveWithCells="1">
                  <from>
                    <xdr:col>6</xdr:col>
                    <xdr:colOff>180975</xdr:colOff>
                    <xdr:row>7</xdr:row>
                    <xdr:rowOff>28575</xdr:rowOff>
                  </from>
                  <to>
                    <xdr:col>7</xdr:col>
                    <xdr:colOff>447675</xdr:colOff>
                    <xdr:row>9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3000000}">
          <x14:formula1>
            <xm:f>Data!$A$2:$A$12</xm:f>
          </x14:formula1>
          <xm:sqref>C9</xm:sqref>
        </x14:dataValidation>
        <x14:dataValidation type="list" allowBlank="1" showInputMessage="1" showErrorMessage="1" xr:uid="{00000000-0002-0000-0000-000004000000}">
          <x14:formula1>
            <xm:f>Data!$D$2:$D$16</xm:f>
          </x14:formula1>
          <xm:sqref>F9</xm:sqref>
        </x14:dataValidation>
        <x14:dataValidation type="list" allowBlank="1" showInputMessage="1" showErrorMessage="1" xr:uid="{00000000-0002-0000-0000-000005000000}">
          <x14:formula1>
            <xm:f>Data!$B$2:$B$13</xm:f>
          </x14:formula1>
          <xm:sqref>D9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K31"/>
  <sheetViews>
    <sheetView showGridLines="0" topLeftCell="A13" workbookViewId="0">
      <selection activeCell="I6" sqref="I6:K6"/>
    </sheetView>
  </sheetViews>
  <sheetFormatPr defaultColWidth="9" defaultRowHeight="12.75"/>
  <cols>
    <col min="1" max="1" width="0.875" customWidth="1"/>
    <col min="2" max="2" width="7.125" customWidth="1"/>
    <col min="3" max="3" width="8.625" customWidth="1"/>
    <col min="4" max="9" width="11.625" customWidth="1"/>
    <col min="10" max="10" width="22.125" customWidth="1"/>
    <col min="12" max="12" width="17.875" customWidth="1"/>
    <col min="13" max="13" width="19.125" customWidth="1"/>
  </cols>
  <sheetData>
    <row r="1" spans="2:11" ht="25.5" customHeight="1">
      <c r="B1" s="228" t="s">
        <v>0</v>
      </c>
      <c r="C1" s="229"/>
      <c r="D1" s="228"/>
      <c r="E1" s="228"/>
      <c r="F1" s="228"/>
      <c r="G1" s="228"/>
      <c r="H1" s="229"/>
    </row>
    <row r="2" spans="2:11" s="47" customFormat="1" ht="25.5" customHeight="1">
      <c r="B2" s="230" t="s">
        <v>28</v>
      </c>
      <c r="C2" s="231"/>
      <c r="D2" s="231"/>
      <c r="E2" s="231"/>
      <c r="F2" s="231"/>
      <c r="G2" s="231"/>
      <c r="H2" s="231"/>
      <c r="J2" s="247" t="s">
        <v>2</v>
      </c>
    </row>
    <row r="3" spans="2:11" ht="18.75" customHeight="1">
      <c r="B3" s="527" t="s">
        <v>3</v>
      </c>
      <c r="C3" s="527"/>
      <c r="D3" s="528"/>
      <c r="E3" s="528"/>
      <c r="F3" s="528"/>
      <c r="G3" s="528"/>
    </row>
    <row r="4" spans="2:11" ht="18.75" customHeight="1">
      <c r="B4" s="527" t="s">
        <v>5</v>
      </c>
      <c r="C4" s="527"/>
      <c r="D4" s="528"/>
      <c r="E4" s="528"/>
      <c r="F4" s="528"/>
      <c r="G4" s="528"/>
      <c r="J4" s="525" t="s">
        <v>7</v>
      </c>
    </row>
    <row r="5" spans="2:11" ht="18.75" customHeight="1">
      <c r="B5" s="527" t="s">
        <v>8</v>
      </c>
      <c r="C5" s="527"/>
      <c r="D5" s="528"/>
      <c r="E5" s="528"/>
      <c r="F5" s="528"/>
      <c r="G5" s="528"/>
      <c r="J5" s="526"/>
    </row>
    <row r="6" spans="2:11">
      <c r="B6" s="52"/>
      <c r="C6" s="53"/>
      <c r="D6" s="53"/>
    </row>
    <row r="7" spans="2:11">
      <c r="B7" s="52"/>
      <c r="C7" s="53"/>
      <c r="D7" s="53"/>
    </row>
    <row r="8" spans="2:11">
      <c r="C8" s="54" t="s">
        <v>10</v>
      </c>
      <c r="D8" s="54" t="s">
        <v>11</v>
      </c>
      <c r="E8" s="54" t="s">
        <v>12</v>
      </c>
      <c r="F8" s="55" t="s">
        <v>13</v>
      </c>
    </row>
    <row r="9" spans="2:11">
      <c r="C9" s="56">
        <v>2022</v>
      </c>
      <c r="D9" s="56" t="s">
        <v>29</v>
      </c>
      <c r="E9" s="56">
        <v>10</v>
      </c>
      <c r="F9" s="56" t="s">
        <v>15</v>
      </c>
    </row>
    <row r="10" spans="2:11">
      <c r="C10" s="57"/>
      <c r="D10" s="57"/>
      <c r="G10" s="57"/>
      <c r="H10" s="57"/>
    </row>
    <row r="11" spans="2:11" ht="27" customHeight="1">
      <c r="C11" s="58" t="s">
        <v>16</v>
      </c>
      <c r="D11" s="58" t="s">
        <v>17</v>
      </c>
      <c r="E11" s="58" t="s">
        <v>18</v>
      </c>
      <c r="F11" s="58" t="s">
        <v>19</v>
      </c>
    </row>
    <row r="12" spans="2:11">
      <c r="C12" s="61">
        <v>0.375</v>
      </c>
      <c r="D12" s="62">
        <v>6.5</v>
      </c>
      <c r="E12" s="62">
        <v>30</v>
      </c>
      <c r="F12" s="62">
        <v>50</v>
      </c>
    </row>
    <row r="13" spans="2:11">
      <c r="I13" s="96"/>
    </row>
    <row r="15" spans="2:11">
      <c r="B15" s="232" t="s">
        <v>20</v>
      </c>
      <c r="C15" s="232" t="s">
        <v>12</v>
      </c>
      <c r="D15" s="232" t="s">
        <v>21</v>
      </c>
      <c r="E15" s="232" t="s">
        <v>22</v>
      </c>
      <c r="F15" s="232" t="s">
        <v>23</v>
      </c>
      <c r="G15" s="232" t="s">
        <v>24</v>
      </c>
      <c r="H15" s="232" t="s">
        <v>25</v>
      </c>
      <c r="I15" s="232" t="s">
        <v>26</v>
      </c>
    </row>
    <row r="16" spans="2:11">
      <c r="B16" s="233">
        <f>DATE($C$9,MATCH($D$9,Data!$B$2:$B$13,0),'Bi-weekly Timesheet'!$E$9)</f>
        <v>44661</v>
      </c>
      <c r="C16" s="234">
        <f>DATE($C$9,MATCH($D$9,Data!$B$2:$B$13,0),'Bi-weekly Timesheet'!$E$9)</f>
        <v>44661</v>
      </c>
      <c r="D16" s="235">
        <v>0.375</v>
      </c>
      <c r="E16" s="235">
        <v>0.75</v>
      </c>
      <c r="F16" s="236">
        <v>1</v>
      </c>
      <c r="G16" s="236">
        <f>IFERROR(IF(AND(D16&lt;&gt;"",E16&lt;&gt;""),IF(D16&gt;$C$12+TIME($D$12,($D$12-INT($D$12))*60,0),0,IF(E16&gt;$C$12+TIME($D$12,($D$12-INT($D$12))*60,0),MIN(TIME($D$12,($D$12-INT($D$12))*60,0),($C$12+TIME($D$12,($D$12-INT($D$12))*60,0)-D16)),MIN(IF((E16-$C$12)&lt;0,0,(E16-$C$12)),(E16-D16))))*24,"")-F16,"")</f>
        <v>5.4999999999999982</v>
      </c>
      <c r="H16" s="236">
        <f>IF(AND(D16&lt;&gt;"",E16&lt;&gt;""),((IF(D16&lt;$C$12,MIN($C$12-D16,E16-D16),0)+IF(E16&gt;$C$12+TIME($D$12,($D$12-INT($D$12))*60,0),MIN((E16-$C$12-TIME($D$12,($D$12-INT($D$12))*60,0)),(E16-D16)),0))*24),"")</f>
        <v>2.5000000000000004</v>
      </c>
      <c r="I16" s="236">
        <f>IFERROR(G16*IF(AND(ISNUMBER(SEARCH(TEXT(B16,"ddd"),$F$9)),Data!$F$2),$F$12,$E$12)+H16*$F$12,"")</f>
        <v>399.99999999999989</v>
      </c>
      <c r="J16" s="96"/>
      <c r="K16" s="96"/>
    </row>
    <row r="17" spans="2:10">
      <c r="B17" s="233">
        <f>B16+1</f>
        <v>44662</v>
      </c>
      <c r="C17" s="234">
        <f>C16+1</f>
        <v>44662</v>
      </c>
      <c r="D17" s="235"/>
      <c r="E17" s="235"/>
      <c r="F17" s="236"/>
      <c r="G17" s="236" t="str">
        <f t="shared" ref="G17:G29" si="0">IFERROR(IF(AND(D17&lt;&gt;"",E17&lt;&gt;""),IF(D17&gt;$C$12+TIME($D$12,($D$12-INT($D$12))*60,0),0,IF(E17&gt;$C$12+TIME($D$12,($D$12-INT($D$12))*60,0),MIN(TIME($D$12,($D$12-INT($D$12))*60,0),($C$12+TIME($D$12,($D$12-INT($D$12))*60,0)-D17)),MIN(IF((E17-$C$12)&lt;0,0,(E17-$C$12)),(E17-D17))))*24,"")-F17,"")</f>
        <v/>
      </c>
      <c r="H17" s="236" t="str">
        <f t="shared" ref="H17:H29" si="1">IF(AND(D17&lt;&gt;"",E17&lt;&gt;""),((IF(D17&lt;$C$12,MIN($C$12-D17,E17-D17),0)+IF(E17&gt;$C$12+TIME($D$12,($D$12-INT($D$12))*60,0),MIN((E17-$C$12-TIME($D$12,($D$12-INT($D$12))*60,0)),(E17-D17)),0))*24),"")</f>
        <v/>
      </c>
      <c r="I17" s="236" t="str">
        <f>IFERROR(G17*IF(AND(ISNUMBER(SEARCH(TEXT(B17,"ddd"),$F$9)),Data!$F$2),$F$12,$E$12)+H17*$F$12,"")</f>
        <v/>
      </c>
      <c r="J17" s="96"/>
    </row>
    <row r="18" spans="2:10">
      <c r="B18" s="233">
        <f t="shared" ref="B18:C22" si="2">B17+1</f>
        <v>44663</v>
      </c>
      <c r="C18" s="234">
        <f t="shared" si="2"/>
        <v>44663</v>
      </c>
      <c r="D18" s="235"/>
      <c r="E18" s="235"/>
      <c r="F18" s="236"/>
      <c r="G18" s="236" t="str">
        <f t="shared" si="0"/>
        <v/>
      </c>
      <c r="H18" s="236" t="str">
        <f t="shared" si="1"/>
        <v/>
      </c>
      <c r="I18" s="236" t="str">
        <f>IFERROR(G18*IF(AND(ISNUMBER(SEARCH(TEXT(B18,"ddd"),$F$9)),Data!$F$2),$F$12,$E$12)+H18*$F$12,"")</f>
        <v/>
      </c>
      <c r="J18" s="96"/>
    </row>
    <row r="19" spans="2:10">
      <c r="B19" s="233">
        <f t="shared" si="2"/>
        <v>44664</v>
      </c>
      <c r="C19" s="234">
        <f t="shared" si="2"/>
        <v>44664</v>
      </c>
      <c r="D19" s="235"/>
      <c r="E19" s="235"/>
      <c r="F19" s="236"/>
      <c r="G19" s="236" t="str">
        <f t="shared" si="0"/>
        <v/>
      </c>
      <c r="H19" s="236" t="str">
        <f t="shared" si="1"/>
        <v/>
      </c>
      <c r="I19" s="236" t="str">
        <f>IFERROR(G19*IF(AND(ISNUMBER(SEARCH(TEXT(B19,"ddd"),$F$9)),Data!$F$2),$F$12,$E$12)+H19*$F$12,"")</f>
        <v/>
      </c>
    </row>
    <row r="20" spans="2:10">
      <c r="B20" s="233">
        <f t="shared" si="2"/>
        <v>44665</v>
      </c>
      <c r="C20" s="234">
        <f t="shared" si="2"/>
        <v>44665</v>
      </c>
      <c r="D20" s="235"/>
      <c r="E20" s="235"/>
      <c r="F20" s="236"/>
      <c r="G20" s="236" t="str">
        <f t="shared" si="0"/>
        <v/>
      </c>
      <c r="H20" s="236" t="str">
        <f t="shared" si="1"/>
        <v/>
      </c>
      <c r="I20" s="236" t="str">
        <f>IFERROR(G20*IF(AND(ISNUMBER(SEARCH(TEXT(B20,"ddd"),$F$9)),Data!$F$2),$F$12,$E$12)+H20*$F$12,"")</f>
        <v/>
      </c>
    </row>
    <row r="21" spans="2:10">
      <c r="B21" s="233">
        <f t="shared" si="2"/>
        <v>44666</v>
      </c>
      <c r="C21" s="234">
        <f t="shared" si="2"/>
        <v>44666</v>
      </c>
      <c r="D21" s="235"/>
      <c r="E21" s="235"/>
      <c r="F21" s="236"/>
      <c r="G21" s="236" t="str">
        <f t="shared" si="0"/>
        <v/>
      </c>
      <c r="H21" s="236" t="str">
        <f t="shared" si="1"/>
        <v/>
      </c>
      <c r="I21" s="236" t="str">
        <f>IFERROR(G21*IF(AND(ISNUMBER(SEARCH(TEXT(B21,"ddd"),$F$9)),Data!$F$2),$F$12,$E$12)+H21*$F$12,"")</f>
        <v/>
      </c>
    </row>
    <row r="22" spans="2:10">
      <c r="B22" s="237">
        <f t="shared" si="2"/>
        <v>44667</v>
      </c>
      <c r="C22" s="238">
        <f t="shared" si="2"/>
        <v>44667</v>
      </c>
      <c r="D22" s="235"/>
      <c r="E22" s="235"/>
      <c r="F22" s="236"/>
      <c r="G22" s="236" t="str">
        <f t="shared" si="0"/>
        <v/>
      </c>
      <c r="H22" s="236" t="str">
        <f t="shared" si="1"/>
        <v/>
      </c>
      <c r="I22" s="236" t="str">
        <f>IFERROR(G22*IF(AND(ISNUMBER(SEARCH(TEXT(B22,"ddd"),$F$9)),Data!$F$2),$F$12,$E$12)+H22*$F$12,"")</f>
        <v/>
      </c>
    </row>
    <row r="23" spans="2:10">
      <c r="B23" s="239">
        <f t="shared" ref="B23" si="3">B22+1</f>
        <v>44668</v>
      </c>
      <c r="C23" s="240">
        <f t="shared" ref="C23" si="4">C22+1</f>
        <v>44668</v>
      </c>
      <c r="D23" s="235"/>
      <c r="E23" s="235"/>
      <c r="F23" s="236"/>
      <c r="G23" s="236" t="str">
        <f t="shared" si="0"/>
        <v/>
      </c>
      <c r="H23" s="236" t="str">
        <f t="shared" si="1"/>
        <v/>
      </c>
      <c r="I23" s="236" t="str">
        <f>IFERROR(G23*IF(AND(ISNUMBER(SEARCH(TEXT(B23,"ddd"),$F$9)),Data!$F$2),$F$12,$E$12)+H23*$F$12,"")</f>
        <v/>
      </c>
    </row>
    <row r="24" spans="2:10">
      <c r="B24" s="233">
        <f t="shared" ref="B24" si="5">B23+1</f>
        <v>44669</v>
      </c>
      <c r="C24" s="234">
        <f t="shared" ref="C24:C29" si="6">C23+1</f>
        <v>44669</v>
      </c>
      <c r="D24" s="235"/>
      <c r="E24" s="235"/>
      <c r="F24" s="236"/>
      <c r="G24" s="236" t="str">
        <f t="shared" si="0"/>
        <v/>
      </c>
      <c r="H24" s="236" t="str">
        <f t="shared" si="1"/>
        <v/>
      </c>
      <c r="I24" s="236" t="str">
        <f>IFERROR(G24*IF(AND(ISNUMBER(SEARCH(TEXT(B24,"ddd"),$F$9)),Data!$F$2),$F$12,$E$12)+H24*$F$12,"")</f>
        <v/>
      </c>
    </row>
    <row r="25" spans="2:10">
      <c r="B25" s="233">
        <f t="shared" ref="B25" si="7">B24+1</f>
        <v>44670</v>
      </c>
      <c r="C25" s="234">
        <f t="shared" si="6"/>
        <v>44670</v>
      </c>
      <c r="D25" s="235"/>
      <c r="E25" s="235"/>
      <c r="F25" s="236"/>
      <c r="G25" s="236" t="str">
        <f t="shared" si="0"/>
        <v/>
      </c>
      <c r="H25" s="236" t="str">
        <f t="shared" si="1"/>
        <v/>
      </c>
      <c r="I25" s="236" t="str">
        <f>IFERROR(G25*IF(AND(ISNUMBER(SEARCH(TEXT(B25,"ddd"),$F$9)),Data!$F$2),$F$12,$E$12)+H25*$F$12,"")</f>
        <v/>
      </c>
    </row>
    <row r="26" spans="2:10">
      <c r="B26" s="233">
        <f t="shared" ref="B26" si="8">B25+1</f>
        <v>44671</v>
      </c>
      <c r="C26" s="234">
        <f t="shared" si="6"/>
        <v>44671</v>
      </c>
      <c r="D26" s="235"/>
      <c r="E26" s="235"/>
      <c r="F26" s="236"/>
      <c r="G26" s="236" t="str">
        <f t="shared" si="0"/>
        <v/>
      </c>
      <c r="H26" s="236" t="str">
        <f t="shared" si="1"/>
        <v/>
      </c>
      <c r="I26" s="236" t="str">
        <f>IFERROR(G26*IF(AND(ISNUMBER(SEARCH(TEXT(B26,"ddd"),$F$9)),Data!$F$2),$F$12,$E$12)+H26*$F$12,"")</f>
        <v/>
      </c>
    </row>
    <row r="27" spans="2:10">
      <c r="B27" s="233">
        <f t="shared" ref="B27" si="9">B26+1</f>
        <v>44672</v>
      </c>
      <c r="C27" s="234">
        <f t="shared" si="6"/>
        <v>44672</v>
      </c>
      <c r="D27" s="235"/>
      <c r="E27" s="235"/>
      <c r="F27" s="236"/>
      <c r="G27" s="236" t="str">
        <f t="shared" si="0"/>
        <v/>
      </c>
      <c r="H27" s="236" t="str">
        <f t="shared" si="1"/>
        <v/>
      </c>
      <c r="I27" s="236" t="str">
        <f>IFERROR(G27*IF(AND(ISNUMBER(SEARCH(TEXT(B27,"ddd"),$F$9)),Data!$F$2),$F$12,$E$12)+H27*$F$12,"")</f>
        <v/>
      </c>
    </row>
    <row r="28" spans="2:10">
      <c r="B28" s="233">
        <f t="shared" ref="B28" si="10">B27+1</f>
        <v>44673</v>
      </c>
      <c r="C28" s="234">
        <f t="shared" si="6"/>
        <v>44673</v>
      </c>
      <c r="D28" s="235"/>
      <c r="E28" s="235"/>
      <c r="F28" s="236"/>
      <c r="G28" s="236" t="str">
        <f t="shared" si="0"/>
        <v/>
      </c>
      <c r="H28" s="236" t="str">
        <f t="shared" si="1"/>
        <v/>
      </c>
      <c r="I28" s="236" t="str">
        <f>IFERROR(G28*IF(AND(ISNUMBER(SEARCH(TEXT(B28,"ddd"),$F$9)),Data!$F$2),$F$12,$E$12)+H28*$F$12,"")</f>
        <v/>
      </c>
    </row>
    <row r="29" spans="2:10">
      <c r="B29" s="233">
        <f t="shared" ref="B29" si="11">B28+1</f>
        <v>44674</v>
      </c>
      <c r="C29" s="234">
        <f t="shared" si="6"/>
        <v>44674</v>
      </c>
      <c r="D29" s="235"/>
      <c r="E29" s="235"/>
      <c r="F29" s="236"/>
      <c r="G29" s="236" t="str">
        <f t="shared" si="0"/>
        <v/>
      </c>
      <c r="H29" s="236" t="str">
        <f t="shared" si="1"/>
        <v/>
      </c>
      <c r="I29" s="236" t="str">
        <f>IFERROR(G29*IF(AND(ISNUMBER(SEARCH(TEXT(B29,"ddd"),$F$9)),Data!$F$2),$F$12,$E$12)+H29*$F$12,"")</f>
        <v/>
      </c>
    </row>
    <row r="30" spans="2:10">
      <c r="B30" s="241"/>
      <c r="C30" s="242"/>
      <c r="D30" s="241"/>
      <c r="E30" s="241"/>
      <c r="G30" s="241"/>
      <c r="H30" s="241"/>
      <c r="I30" s="241"/>
    </row>
    <row r="31" spans="2:10">
      <c r="C31" s="88"/>
      <c r="D31" s="243"/>
      <c r="E31" s="244" t="s">
        <v>30</v>
      </c>
      <c r="F31" s="245">
        <f>SUM(F16:F29)</f>
        <v>1</v>
      </c>
      <c r="G31" s="245">
        <f>SUM(G16:G29)</f>
        <v>5.4999999999999982</v>
      </c>
      <c r="H31" s="246">
        <f>SUM(H16:H29)</f>
        <v>2.5000000000000004</v>
      </c>
      <c r="I31" s="246">
        <f>SUM(I16:I29)</f>
        <v>399.99999999999989</v>
      </c>
    </row>
  </sheetData>
  <mergeCells count="7">
    <mergeCell ref="J4:J5"/>
    <mergeCell ref="B3:C3"/>
    <mergeCell ref="D3:G3"/>
    <mergeCell ref="B4:C4"/>
    <mergeCell ref="D4:G4"/>
    <mergeCell ref="B5:C5"/>
    <mergeCell ref="D5:G5"/>
  </mergeCells>
  <conditionalFormatting sqref="B16:I29">
    <cfRule type="expression" dxfId="291" priority="1">
      <formula>ISNUMBER(SEARCH(TEXT($B16,"ddd"),$F$9))</formula>
    </cfRule>
  </conditionalFormatting>
  <dataValidations count="4">
    <dataValidation type="custom" allowBlank="1" showInputMessage="1" showErrorMessage="1" sqref="E19:E29" xr:uid="{00000000-0002-0000-0100-000000000000}">
      <formula1>AND($E19&lt;=1,ISNUMBER($E19),($E19&gt;$D19))</formula1>
    </dataValidation>
    <dataValidation type="list" allowBlank="1" showInputMessage="1" showErrorMessage="1" sqref="E9" xr:uid="{00000000-0002-0000-0100-000001000000}">
      <formula1>DateCalc</formula1>
    </dataValidation>
    <dataValidation type="custom" allowBlank="1" showInputMessage="1" showErrorMessage="1" sqref="D16:D29" xr:uid="{00000000-0002-0000-0100-000002000000}">
      <formula1>AND($D16&lt;=1,ISNUMBER($D16))</formula1>
    </dataValidation>
    <dataValidation type="custom" allowBlank="1" showInputMessage="1" showErrorMessage="1" sqref="E16:E18" xr:uid="{00000000-0002-0000-0100-000003000000}">
      <formula1>AND($E16&lt;=1,ISNUMBER($E16),($E16&gt;=$D16))</formula1>
    </dataValidation>
  </dataValidations>
  <hyperlinks>
    <hyperlink ref="J2" r:id="rId1" xr:uid="{00000000-0004-0000-0100-000000000000}"/>
    <hyperlink ref="J4:J5" r:id="rId2" display="Visit TrumpExcel.com for more Excel Templates" xr:uid="{00000000-0004-0000-0100-000001000000}"/>
  </hyperlinks>
  <pageMargins left="0.25" right="0.25" top="0.75" bottom="0.75" header="0.3" footer="0.3"/>
  <pageSetup paperSize="9" orientation="portrait" r:id="rId3"/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6" name="Check Box 1">
              <controlPr defaultSize="0" print="0" autoPict="0">
                <anchor moveWithCells="1">
                  <from>
                    <xdr:col>6</xdr:col>
                    <xdr:colOff>180975</xdr:colOff>
                    <xdr:row>7</xdr:row>
                    <xdr:rowOff>28575</xdr:rowOff>
                  </from>
                  <to>
                    <xdr:col>7</xdr:col>
                    <xdr:colOff>447675</xdr:colOff>
                    <xdr:row>9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4000000}">
          <x14:formula1>
            <xm:f>Data!$A$2:$A$12</xm:f>
          </x14:formula1>
          <xm:sqref>C9</xm:sqref>
        </x14:dataValidation>
        <x14:dataValidation type="list" allowBlank="1" showInputMessage="1" showErrorMessage="1" xr:uid="{00000000-0002-0000-0100-000005000000}">
          <x14:formula1>
            <xm:f>Data!$D$2:$D$16</xm:f>
          </x14:formula1>
          <xm:sqref>F9</xm:sqref>
        </x14:dataValidation>
        <x14:dataValidation type="list" allowBlank="1" showInputMessage="1" showErrorMessage="1" xr:uid="{00000000-0002-0000-0100-000006000000}">
          <x14:formula1>
            <xm:f>Data!$B$2:$B$13</xm:f>
          </x14:formula1>
          <xm:sqref>D9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3:BA73"/>
  <sheetViews>
    <sheetView view="pageBreakPreview" topLeftCell="A11" zoomScale="96" zoomScaleNormal="96" workbookViewId="0">
      <selection activeCell="A14" sqref="A14"/>
    </sheetView>
  </sheetViews>
  <sheetFormatPr defaultColWidth="8" defaultRowHeight="12"/>
  <cols>
    <col min="1" max="1" width="3.125" style="168" customWidth="1"/>
    <col min="2" max="2" width="19.125" style="168" customWidth="1"/>
    <col min="3" max="3" width="17.5" style="168" customWidth="1"/>
    <col min="4" max="4" width="5.375" style="218" customWidth="1"/>
    <col min="5" max="5" width="9.375" style="168" customWidth="1"/>
    <col min="6" max="6" width="7.625" style="170" customWidth="1"/>
    <col min="7" max="7" width="9" style="168" customWidth="1"/>
    <col min="8" max="8" width="7.625" style="168" customWidth="1"/>
    <col min="9" max="9" width="9.375" style="168" customWidth="1"/>
    <col min="10" max="10" width="9" style="168" customWidth="1"/>
    <col min="11" max="11" width="8.125" style="170" customWidth="1"/>
    <col min="12" max="12" width="6" style="170" customWidth="1"/>
    <col min="13" max="14" width="8" style="168"/>
    <col min="15" max="16" width="7.625" style="170" customWidth="1"/>
    <col min="17" max="17" width="8.5" style="170" customWidth="1"/>
    <col min="18" max="18" width="7.625" style="170" customWidth="1"/>
    <col min="19" max="19" width="10.125" style="170" customWidth="1"/>
    <col min="20" max="20" width="7.625" style="170" customWidth="1"/>
    <col min="21" max="21" width="8.625" style="168" customWidth="1"/>
    <col min="22" max="22" width="13.375" style="170" customWidth="1"/>
    <col min="23" max="23" width="9" style="168" customWidth="1"/>
    <col min="24" max="16384" width="8" style="168"/>
  </cols>
  <sheetData>
    <row r="3" spans="2:53" ht="15">
      <c r="B3" s="529" t="s">
        <v>31</v>
      </c>
      <c r="C3" s="529"/>
      <c r="D3" s="530"/>
      <c r="E3" s="529"/>
      <c r="F3" s="529"/>
      <c r="G3" s="529"/>
      <c r="H3" s="529"/>
      <c r="I3" s="529"/>
      <c r="J3" s="529"/>
      <c r="K3" s="529"/>
      <c r="L3" s="529"/>
      <c r="M3" s="529"/>
      <c r="N3" s="529"/>
      <c r="O3" s="529"/>
      <c r="P3" s="529"/>
      <c r="Q3" s="529"/>
      <c r="R3" s="529"/>
      <c r="S3" s="529"/>
      <c r="T3" s="529"/>
      <c r="U3" s="529"/>
      <c r="V3" s="529"/>
    </row>
    <row r="4" spans="2:53" ht="15" customHeight="1">
      <c r="B4" s="22" t="s">
        <v>32</v>
      </c>
    </row>
    <row r="5" spans="2:53" ht="15" customHeight="1">
      <c r="B5" s="22" t="s">
        <v>33</v>
      </c>
      <c r="C5" s="22" t="s">
        <v>34</v>
      </c>
      <c r="D5" s="171"/>
    </row>
    <row r="6" spans="2:53" ht="15" customHeight="1">
      <c r="B6" s="22" t="s">
        <v>35</v>
      </c>
      <c r="C6" s="214">
        <v>44804</v>
      </c>
      <c r="D6" s="219"/>
    </row>
    <row r="7" spans="2:53" ht="15" customHeight="1">
      <c r="B7" s="22"/>
    </row>
    <row r="8" spans="2:53" ht="15.75" customHeight="1">
      <c r="B8" s="482" t="s">
        <v>36</v>
      </c>
      <c r="C8" s="531" t="s">
        <v>37</v>
      </c>
      <c r="D8" s="534" t="s">
        <v>38</v>
      </c>
      <c r="E8" s="537" t="s">
        <v>39</v>
      </c>
      <c r="F8" s="540" t="s">
        <v>40</v>
      </c>
      <c r="G8" s="543" t="s">
        <v>41</v>
      </c>
      <c r="H8" s="543" t="s">
        <v>42</v>
      </c>
      <c r="I8" s="546" t="s">
        <v>43</v>
      </c>
      <c r="J8" s="482" t="s">
        <v>44</v>
      </c>
      <c r="K8" s="517" t="s">
        <v>45</v>
      </c>
      <c r="L8" s="503"/>
      <c r="M8" s="503"/>
      <c r="N8" s="549"/>
      <c r="O8" s="554" t="s">
        <v>46</v>
      </c>
      <c r="P8" s="503"/>
      <c r="Q8" s="503"/>
      <c r="R8" s="503"/>
      <c r="S8" s="549"/>
      <c r="T8" s="172"/>
      <c r="U8" s="482" t="s">
        <v>47</v>
      </c>
      <c r="V8" s="482" t="s">
        <v>48</v>
      </c>
    </row>
    <row r="9" spans="2:53" ht="15.75" customHeight="1">
      <c r="B9" s="483"/>
      <c r="C9" s="532"/>
      <c r="D9" s="535"/>
      <c r="E9" s="538"/>
      <c r="F9" s="541"/>
      <c r="G9" s="544"/>
      <c r="H9" s="544"/>
      <c r="I9" s="547"/>
      <c r="J9" s="483"/>
      <c r="K9" s="519"/>
      <c r="L9" s="553"/>
      <c r="M9" s="553"/>
      <c r="N9" s="550"/>
      <c r="O9" s="555"/>
      <c r="P9" s="553"/>
      <c r="Q9" s="553"/>
      <c r="R9" s="553"/>
      <c r="S9" s="550"/>
      <c r="T9" s="173"/>
      <c r="U9" s="483"/>
      <c r="V9" s="483"/>
    </row>
    <row r="10" spans="2:53" ht="15" customHeight="1">
      <c r="B10" s="483"/>
      <c r="C10" s="532"/>
      <c r="D10" s="535"/>
      <c r="E10" s="538"/>
      <c r="F10" s="541"/>
      <c r="G10" s="544"/>
      <c r="H10" s="544"/>
      <c r="I10" s="547"/>
      <c r="J10" s="483"/>
      <c r="K10" s="517"/>
      <c r="L10" s="199" t="s">
        <v>49</v>
      </c>
      <c r="M10" s="199" t="s">
        <v>50</v>
      </c>
      <c r="N10" s="200" t="s">
        <v>51</v>
      </c>
      <c r="O10" s="549" t="s">
        <v>52</v>
      </c>
      <c r="P10" s="551" t="s">
        <v>53</v>
      </c>
      <c r="Q10" s="497" t="s">
        <v>54</v>
      </c>
      <c r="R10" s="497" t="s">
        <v>55</v>
      </c>
      <c r="S10" s="551" t="s">
        <v>56</v>
      </c>
      <c r="T10" s="497" t="s">
        <v>57</v>
      </c>
      <c r="U10" s="483"/>
      <c r="V10" s="483"/>
    </row>
    <row r="11" spans="2:53" ht="46.5" customHeight="1">
      <c r="B11" s="484"/>
      <c r="C11" s="533"/>
      <c r="D11" s="536"/>
      <c r="E11" s="539"/>
      <c r="F11" s="542"/>
      <c r="G11" s="545"/>
      <c r="H11" s="545"/>
      <c r="I11" s="548"/>
      <c r="J11" s="484"/>
      <c r="K11" s="519"/>
      <c r="L11" s="201"/>
      <c r="M11" s="201"/>
      <c r="N11" s="202" t="s">
        <v>58</v>
      </c>
      <c r="O11" s="550"/>
      <c r="P11" s="552"/>
      <c r="Q11" s="499"/>
      <c r="R11" s="499"/>
      <c r="S11" s="552"/>
      <c r="T11" s="499"/>
      <c r="U11" s="484"/>
      <c r="V11" s="484"/>
    </row>
    <row r="12" spans="2:53" ht="15" customHeight="1">
      <c r="B12" s="174"/>
      <c r="C12" s="175"/>
      <c r="D12" s="220"/>
      <c r="E12" s="177"/>
      <c r="F12" s="177"/>
      <c r="G12" s="177"/>
      <c r="H12" s="177"/>
      <c r="I12" s="177"/>
      <c r="J12" s="177"/>
      <c r="K12" s="203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AG12" s="194"/>
      <c r="AH12" s="194"/>
      <c r="AI12" s="194"/>
      <c r="AJ12" s="194"/>
      <c r="AK12" s="194"/>
      <c r="AL12" s="194"/>
      <c r="AM12" s="194"/>
      <c r="AN12" s="194"/>
      <c r="AO12" s="194"/>
      <c r="AP12" s="210"/>
      <c r="AQ12" s="194"/>
      <c r="AR12" s="194"/>
      <c r="AS12" s="194"/>
      <c r="AT12" s="194"/>
      <c r="AU12" s="194"/>
      <c r="AV12" s="194"/>
      <c r="AW12" s="194"/>
      <c r="AX12" s="210"/>
      <c r="AY12" s="194"/>
      <c r="AZ12" s="210"/>
      <c r="BA12" s="194"/>
    </row>
    <row r="13" spans="2:53">
      <c r="B13" s="178" t="s">
        <v>59</v>
      </c>
      <c r="C13" s="178" t="s">
        <v>60</v>
      </c>
      <c r="D13" s="221"/>
      <c r="E13" s="180">
        <v>15000</v>
      </c>
      <c r="F13" s="180"/>
      <c r="G13" s="178"/>
      <c r="H13" s="178"/>
      <c r="I13" s="180"/>
      <c r="J13" s="180"/>
      <c r="K13" s="204">
        <v>2500</v>
      </c>
      <c r="L13" s="180"/>
      <c r="M13" s="180"/>
      <c r="N13" s="205">
        <v>147.16999999999999</v>
      </c>
      <c r="O13" s="183"/>
      <c r="P13" s="180">
        <v>899.75</v>
      </c>
      <c r="Q13" s="180">
        <v>5000</v>
      </c>
      <c r="R13" s="180"/>
      <c r="S13" s="180"/>
      <c r="T13" s="180"/>
      <c r="U13" s="180">
        <f t="shared" ref="U13:U17" si="0">SUM(L13:S13)</f>
        <v>6046.92</v>
      </c>
      <c r="V13" s="180">
        <f t="shared" ref="V13:V18" si="1">(E13+K13)-U13</f>
        <v>11453.08</v>
      </c>
      <c r="W13" s="212"/>
      <c r="AG13" s="194"/>
      <c r="AH13" s="194"/>
      <c r="AI13" s="194"/>
      <c r="AJ13" s="194"/>
      <c r="AK13" s="194"/>
      <c r="AL13" s="194"/>
      <c r="AM13" s="194"/>
      <c r="AN13" s="194"/>
      <c r="AO13" s="194"/>
      <c r="AP13" s="210"/>
      <c r="AQ13" s="194"/>
      <c r="AR13" s="194"/>
      <c r="AS13" s="194"/>
      <c r="AT13" s="194"/>
      <c r="AU13" s="194"/>
      <c r="AV13" s="194"/>
      <c r="AW13" s="194"/>
      <c r="AX13" s="210"/>
      <c r="AY13" s="194"/>
      <c r="AZ13" s="210"/>
      <c r="BA13" s="194"/>
    </row>
    <row r="14" spans="2:53">
      <c r="B14" s="178" t="s">
        <v>61</v>
      </c>
      <c r="C14" s="178" t="s">
        <v>62</v>
      </c>
      <c r="D14" s="221"/>
      <c r="E14" s="180">
        <v>13250</v>
      </c>
      <c r="F14" s="180"/>
      <c r="G14" s="178"/>
      <c r="H14" s="178"/>
      <c r="I14" s="180"/>
      <c r="J14" s="180"/>
      <c r="K14" s="204">
        <v>4250</v>
      </c>
      <c r="L14" s="206">
        <v>397.5</v>
      </c>
      <c r="M14" s="206">
        <v>300</v>
      </c>
      <c r="N14" s="189">
        <v>147.16999999999999</v>
      </c>
      <c r="O14" s="183">
        <f>1133.33/2</f>
        <v>566.66499999999996</v>
      </c>
      <c r="P14" s="180">
        <f>500/2</f>
        <v>250</v>
      </c>
      <c r="Q14" s="180">
        <v>187.5</v>
      </c>
      <c r="R14" s="180"/>
      <c r="S14" s="180">
        <v>1791.67</v>
      </c>
      <c r="T14" s="180"/>
      <c r="U14" s="180">
        <f t="shared" si="0"/>
        <v>3640.5050000000001</v>
      </c>
      <c r="V14" s="180">
        <f t="shared" si="1"/>
        <v>13859.494999999999</v>
      </c>
      <c r="AG14" s="194"/>
      <c r="AH14" s="194"/>
      <c r="AI14" s="194"/>
      <c r="AJ14" s="194"/>
      <c r="AK14" s="194"/>
      <c r="AL14" s="194"/>
      <c r="AM14" s="194"/>
      <c r="AN14" s="194"/>
      <c r="AO14" s="194"/>
      <c r="AP14" s="210"/>
      <c r="AQ14" s="194"/>
      <c r="AR14" s="194"/>
      <c r="AS14" s="194"/>
      <c r="AT14" s="194"/>
      <c r="AU14" s="194"/>
      <c r="AV14" s="194"/>
      <c r="AW14" s="194"/>
      <c r="AX14" s="210"/>
      <c r="AY14" s="194"/>
      <c r="AZ14" s="210"/>
      <c r="BA14" s="194"/>
    </row>
    <row r="15" spans="2:53">
      <c r="B15" s="178" t="s">
        <v>63</v>
      </c>
      <c r="C15" s="178" t="s">
        <v>64</v>
      </c>
      <c r="D15" s="221"/>
      <c r="E15" s="180">
        <v>11250</v>
      </c>
      <c r="F15" s="180"/>
      <c r="G15" s="178"/>
      <c r="H15" s="178"/>
      <c r="I15" s="180"/>
      <c r="J15" s="180"/>
      <c r="K15" s="204">
        <v>4250</v>
      </c>
      <c r="L15" s="206">
        <v>337.5</v>
      </c>
      <c r="M15" s="206">
        <v>300</v>
      </c>
      <c r="N15" s="189">
        <v>147.16999999999999</v>
      </c>
      <c r="O15" s="189">
        <f>533.4/2</f>
        <v>266.7</v>
      </c>
      <c r="P15" s="180">
        <f>500/2</f>
        <v>250</v>
      </c>
      <c r="Q15" s="180">
        <v>187.5</v>
      </c>
      <c r="R15" s="180"/>
      <c r="S15" s="180">
        <v>1770.83</v>
      </c>
      <c r="T15" s="180"/>
      <c r="U15" s="180">
        <f t="shared" si="0"/>
        <v>3259.7</v>
      </c>
      <c r="V15" s="180">
        <f t="shared" si="1"/>
        <v>12240.3</v>
      </c>
      <c r="AG15" s="194"/>
      <c r="AH15" s="194"/>
      <c r="AI15" s="194"/>
      <c r="AJ15" s="194"/>
      <c r="AK15" s="194"/>
      <c r="AL15" s="194"/>
      <c r="AM15" s="194"/>
      <c r="AN15" s="194"/>
      <c r="AO15" s="194"/>
      <c r="AP15" s="210"/>
      <c r="AQ15" s="194"/>
      <c r="AR15" s="194"/>
      <c r="AS15" s="194"/>
      <c r="AT15" s="194"/>
      <c r="AU15" s="194"/>
      <c r="AV15" s="194"/>
      <c r="AW15" s="194"/>
      <c r="AX15" s="210"/>
      <c r="AY15" s="194"/>
      <c r="AZ15" s="210"/>
      <c r="BA15" s="194"/>
    </row>
    <row r="16" spans="2:53">
      <c r="B16" s="178" t="s">
        <v>65</v>
      </c>
      <c r="C16" s="178" t="s">
        <v>66</v>
      </c>
      <c r="D16" s="221"/>
      <c r="E16" s="180">
        <v>12750</v>
      </c>
      <c r="F16" s="180"/>
      <c r="G16" s="178"/>
      <c r="H16" s="178"/>
      <c r="I16" s="180"/>
      <c r="J16" s="180"/>
      <c r="K16" s="204">
        <v>4250</v>
      </c>
      <c r="L16" s="206">
        <v>382.5</v>
      </c>
      <c r="M16" s="206">
        <v>500</v>
      </c>
      <c r="N16" s="205">
        <v>147.16999999999999</v>
      </c>
      <c r="O16" s="183">
        <f>1133.33/2</f>
        <v>566.66499999999996</v>
      </c>
      <c r="P16" s="180">
        <v>250</v>
      </c>
      <c r="Q16" s="180"/>
      <c r="R16" s="180"/>
      <c r="S16" s="180">
        <v>3480</v>
      </c>
      <c r="T16" s="180"/>
      <c r="U16" s="180">
        <f t="shared" si="0"/>
        <v>5326.335</v>
      </c>
      <c r="V16" s="180">
        <f t="shared" si="1"/>
        <v>11673.665000000001</v>
      </c>
      <c r="W16" s="212"/>
      <c r="X16" s="194"/>
      <c r="Y16" s="194"/>
      <c r="AP16" s="170"/>
      <c r="AX16" s="170"/>
      <c r="AZ16" s="170"/>
    </row>
    <row r="17" spans="2:52">
      <c r="B17" s="178" t="s">
        <v>67</v>
      </c>
      <c r="C17" s="178" t="s">
        <v>68</v>
      </c>
      <c r="D17" s="221"/>
      <c r="E17" s="180">
        <v>11000</v>
      </c>
      <c r="F17" s="180"/>
      <c r="G17" s="178"/>
      <c r="H17" s="178"/>
      <c r="I17" s="180"/>
      <c r="J17" s="180"/>
      <c r="K17" s="204">
        <v>3500</v>
      </c>
      <c r="L17" s="180"/>
      <c r="M17" s="180"/>
      <c r="N17" s="205">
        <v>147.16999999999999</v>
      </c>
      <c r="O17" s="183"/>
      <c r="P17" s="180">
        <v>837.25</v>
      </c>
      <c r="Q17" s="180">
        <v>5000</v>
      </c>
      <c r="R17" s="180"/>
      <c r="S17" s="180">
        <v>1500</v>
      </c>
      <c r="T17" s="180"/>
      <c r="U17" s="180">
        <f t="shared" si="0"/>
        <v>7484.42</v>
      </c>
      <c r="V17" s="180">
        <f t="shared" si="1"/>
        <v>7015.58</v>
      </c>
      <c r="W17" s="194"/>
      <c r="X17" s="194"/>
      <c r="Y17" s="194"/>
      <c r="AP17" s="170"/>
      <c r="AX17" s="170"/>
      <c r="AZ17" s="170"/>
    </row>
    <row r="18" spans="2:52">
      <c r="B18" s="182" t="s">
        <v>69</v>
      </c>
      <c r="C18" s="178"/>
      <c r="D18" s="221"/>
      <c r="E18" s="180"/>
      <c r="F18" s="180"/>
      <c r="G18" s="178"/>
      <c r="H18" s="178"/>
      <c r="I18" s="180"/>
      <c r="J18" s="180"/>
      <c r="K18" s="204"/>
      <c r="L18" s="180"/>
      <c r="M18" s="180"/>
      <c r="N18" s="178"/>
      <c r="O18" s="178"/>
      <c r="P18" s="180"/>
      <c r="Q18" s="180"/>
      <c r="R18" s="180"/>
      <c r="S18" s="180"/>
      <c r="T18" s="180"/>
      <c r="U18" s="180"/>
      <c r="V18" s="180">
        <f t="shared" si="1"/>
        <v>0</v>
      </c>
      <c r="W18" s="194"/>
      <c r="X18" s="194"/>
      <c r="Y18" s="194"/>
      <c r="AP18" s="170"/>
      <c r="AX18" s="170"/>
      <c r="AZ18" s="170"/>
    </row>
    <row r="19" spans="2:52">
      <c r="B19" s="178" t="s">
        <v>70</v>
      </c>
      <c r="C19" s="178" t="s">
        <v>71</v>
      </c>
      <c r="D19" s="221"/>
      <c r="E19" s="180">
        <v>9000</v>
      </c>
      <c r="F19" s="180" t="e">
        <f>#REF!</f>
        <v>#REF!</v>
      </c>
      <c r="G19" s="183" t="e">
        <f t="shared" ref="G19:G29" si="2">E19-F19</f>
        <v>#REF!</v>
      </c>
      <c r="H19" s="183"/>
      <c r="I19" s="180"/>
      <c r="J19" s="180" t="e">
        <f>G19+H19+I19</f>
        <v>#REF!</v>
      </c>
      <c r="K19" s="204"/>
      <c r="L19" s="206">
        <v>225</v>
      </c>
      <c r="M19" s="206">
        <v>100</v>
      </c>
      <c r="N19" s="180">
        <v>109.23</v>
      </c>
      <c r="O19" s="180"/>
      <c r="P19" s="180"/>
      <c r="Q19" s="180"/>
      <c r="R19" s="180"/>
      <c r="S19" s="180"/>
      <c r="T19" s="180"/>
      <c r="U19" s="180">
        <f t="shared" ref="U19:U28" si="3">SUM(L19:S19)</f>
        <v>434.23</v>
      </c>
      <c r="V19" s="180" t="e">
        <f t="shared" ref="V19:V28" si="4">(J19+K19)-U19</f>
        <v>#REF!</v>
      </c>
      <c r="W19" s="211"/>
      <c r="AP19" s="170"/>
      <c r="AX19" s="170"/>
      <c r="AZ19" s="170"/>
    </row>
    <row r="20" spans="2:52">
      <c r="B20" s="178" t="s">
        <v>72</v>
      </c>
      <c r="C20" s="178" t="s">
        <v>73</v>
      </c>
      <c r="D20" s="221"/>
      <c r="E20" s="180">
        <f>COMOSO!N34</f>
        <v>7045.3846153846152</v>
      </c>
      <c r="F20" s="180">
        <f>COMOSO!N35</f>
        <v>327.69230769230768</v>
      </c>
      <c r="G20" s="183">
        <f t="shared" si="2"/>
        <v>6717.6923076923076</v>
      </c>
      <c r="H20" s="183">
        <f>COMOSO!N37</f>
        <v>0</v>
      </c>
      <c r="I20" s="180">
        <f>COMOSO!N38</f>
        <v>1474.6153846153845</v>
      </c>
      <c r="J20" s="180">
        <f>G20+H20+I20</f>
        <v>8192.3076923076915</v>
      </c>
      <c r="K20" s="204"/>
      <c r="L20" s="206">
        <v>225.64</v>
      </c>
      <c r="M20" s="206">
        <v>100</v>
      </c>
      <c r="N20" s="180">
        <v>71.290000000000006</v>
      </c>
      <c r="O20" s="180"/>
      <c r="P20" s="180"/>
      <c r="Q20" s="180"/>
      <c r="R20" s="180"/>
      <c r="S20" s="180"/>
      <c r="T20" s="180"/>
      <c r="U20" s="180">
        <f t="shared" si="3"/>
        <v>396.93</v>
      </c>
      <c r="V20" s="180">
        <f t="shared" si="4"/>
        <v>7795.3776923076912</v>
      </c>
      <c r="W20" s="211"/>
      <c r="AP20" s="170"/>
      <c r="AX20" s="170"/>
      <c r="AZ20" s="170"/>
    </row>
    <row r="21" spans="2:52">
      <c r="B21" s="178" t="s">
        <v>74</v>
      </c>
      <c r="C21" s="178" t="s">
        <v>75</v>
      </c>
      <c r="D21" s="221"/>
      <c r="E21" s="180">
        <f>DAGOT!N37</f>
        <v>11087.238461538462</v>
      </c>
      <c r="F21" s="180">
        <f>DAGOT!N38</f>
        <v>596.79456410256421</v>
      </c>
      <c r="G21" s="183">
        <f t="shared" si="2"/>
        <v>10490.443897435898</v>
      </c>
      <c r="H21" s="178"/>
      <c r="I21" s="180">
        <f>DAGOT!N41</f>
        <v>0</v>
      </c>
      <c r="J21" s="180">
        <f>G21+H21+I21</f>
        <v>10490.443897435898</v>
      </c>
      <c r="K21" s="204"/>
      <c r="L21" s="206">
        <v>225.64</v>
      </c>
      <c r="M21" s="206">
        <v>100</v>
      </c>
      <c r="N21" s="180">
        <v>71.290000000000006</v>
      </c>
      <c r="O21" s="180"/>
      <c r="P21" s="180"/>
      <c r="Q21" s="180"/>
      <c r="R21" s="180"/>
      <c r="S21" s="180"/>
      <c r="T21" s="180"/>
      <c r="U21" s="180">
        <f t="shared" si="3"/>
        <v>396.93</v>
      </c>
      <c r="V21" s="180">
        <f t="shared" si="4"/>
        <v>10093.513897435898</v>
      </c>
      <c r="W21" s="211"/>
      <c r="AP21" s="170"/>
      <c r="AX21" s="170"/>
      <c r="AZ21" s="170"/>
    </row>
    <row r="22" spans="2:52">
      <c r="B22" s="178" t="s">
        <v>76</v>
      </c>
      <c r="C22" s="178" t="s">
        <v>75</v>
      </c>
      <c r="D22" s="222"/>
      <c r="E22" s="180" t="e">
        <f>#REF!</f>
        <v>#REF!</v>
      </c>
      <c r="F22" s="180" t="e">
        <f>#REF!</f>
        <v>#REF!</v>
      </c>
      <c r="G22" s="183" t="e">
        <f t="shared" si="2"/>
        <v>#REF!</v>
      </c>
      <c r="H22" s="178"/>
      <c r="I22" s="180" t="e">
        <f>#REF!</f>
        <v>#REF!</v>
      </c>
      <c r="J22" s="180" t="e">
        <f>G22+H22+I22</f>
        <v>#REF!</v>
      </c>
      <c r="K22" s="204"/>
      <c r="L22" s="206">
        <v>225.64</v>
      </c>
      <c r="M22" s="206">
        <v>100</v>
      </c>
      <c r="N22" s="180">
        <v>71.290000000000006</v>
      </c>
      <c r="O22" s="180"/>
      <c r="P22" s="180"/>
      <c r="Q22" s="180"/>
      <c r="R22" s="180"/>
      <c r="S22" s="180"/>
      <c r="T22" s="180"/>
      <c r="U22" s="180">
        <f t="shared" si="3"/>
        <v>396.93</v>
      </c>
      <c r="V22" s="180" t="e">
        <f t="shared" si="4"/>
        <v>#REF!</v>
      </c>
      <c r="W22" s="211"/>
      <c r="AP22" s="170"/>
      <c r="AX22" s="170"/>
      <c r="AZ22" s="170"/>
    </row>
    <row r="23" spans="2:52">
      <c r="B23" s="178" t="s">
        <v>77</v>
      </c>
      <c r="C23" s="178" t="s">
        <v>75</v>
      </c>
      <c r="D23" s="221"/>
      <c r="E23" s="180" t="e">
        <f>#REF!</f>
        <v>#REF!</v>
      </c>
      <c r="F23" s="180" t="e">
        <f>#REF!</f>
        <v>#REF!</v>
      </c>
      <c r="G23" s="183" t="e">
        <f t="shared" si="2"/>
        <v>#REF!</v>
      </c>
      <c r="H23" s="178"/>
      <c r="I23" s="180" t="e">
        <f>#REF!</f>
        <v>#REF!</v>
      </c>
      <c r="J23" s="180" t="e">
        <f>G23+H23+I23</f>
        <v>#REF!</v>
      </c>
      <c r="K23" s="204"/>
      <c r="L23" s="206">
        <v>225.64</v>
      </c>
      <c r="M23" s="206">
        <v>100</v>
      </c>
      <c r="N23" s="180">
        <v>71.290000000000006</v>
      </c>
      <c r="O23" s="180"/>
      <c r="P23" s="180"/>
      <c r="Q23" s="180"/>
      <c r="R23" s="180"/>
      <c r="S23" s="180"/>
      <c r="T23" s="180"/>
      <c r="U23" s="180">
        <f t="shared" si="3"/>
        <v>396.93</v>
      </c>
      <c r="V23" s="180" t="e">
        <f t="shared" si="4"/>
        <v>#REF!</v>
      </c>
      <c r="W23" s="211"/>
      <c r="AP23" s="170"/>
      <c r="AX23" s="170"/>
      <c r="AZ23" s="170"/>
    </row>
    <row r="24" spans="2:52">
      <c r="B24" s="178" t="s">
        <v>78</v>
      </c>
      <c r="C24" s="178" t="s">
        <v>79</v>
      </c>
      <c r="D24" s="221"/>
      <c r="E24" s="180">
        <v>10250</v>
      </c>
      <c r="F24" s="180"/>
      <c r="G24" s="183">
        <f t="shared" si="2"/>
        <v>10250</v>
      </c>
      <c r="H24" s="178"/>
      <c r="I24" s="180"/>
      <c r="J24" s="180">
        <f t="shared" ref="J24:J29" si="5">G24+H24+I24</f>
        <v>10250</v>
      </c>
      <c r="K24" s="204"/>
      <c r="L24" s="206">
        <v>307.5</v>
      </c>
      <c r="M24" s="206">
        <v>100</v>
      </c>
      <c r="N24" s="180">
        <v>109.23</v>
      </c>
      <c r="O24" s="180"/>
      <c r="P24" s="180"/>
      <c r="Q24" s="180"/>
      <c r="R24" s="180"/>
      <c r="S24" s="180"/>
      <c r="T24" s="180"/>
      <c r="U24" s="180">
        <f t="shared" si="3"/>
        <v>516.73</v>
      </c>
      <c r="V24" s="180">
        <f t="shared" si="4"/>
        <v>9733.27</v>
      </c>
      <c r="W24" s="211"/>
      <c r="AP24" s="170"/>
      <c r="AX24" s="170"/>
      <c r="AZ24" s="170"/>
    </row>
    <row r="25" spans="2:52">
      <c r="B25" s="178" t="s">
        <v>80</v>
      </c>
      <c r="C25" s="178" t="s">
        <v>81</v>
      </c>
      <c r="D25" s="223"/>
      <c r="E25" s="180">
        <f>BATUL!M32</f>
        <v>10020</v>
      </c>
      <c r="F25" s="180">
        <f>BATUL!M33</f>
        <v>0</v>
      </c>
      <c r="G25" s="186">
        <f t="shared" si="2"/>
        <v>10020</v>
      </c>
      <c r="H25" s="183">
        <f>BATUL!M35</f>
        <v>0</v>
      </c>
      <c r="I25" s="180">
        <f>BATUL!M36</f>
        <v>0</v>
      </c>
      <c r="J25" s="180">
        <f t="shared" si="5"/>
        <v>10020</v>
      </c>
      <c r="K25" s="204"/>
      <c r="L25" s="206">
        <v>180</v>
      </c>
      <c r="M25" s="206">
        <v>100</v>
      </c>
      <c r="N25" s="180">
        <v>142.58000000000001</v>
      </c>
      <c r="O25" s="180"/>
      <c r="P25" s="180"/>
      <c r="Q25" s="180"/>
      <c r="R25" s="180"/>
      <c r="S25" s="180"/>
      <c r="T25" s="180"/>
      <c r="U25" s="180">
        <f t="shared" si="3"/>
        <v>422.58000000000004</v>
      </c>
      <c r="V25" s="180">
        <f t="shared" si="4"/>
        <v>9597.42</v>
      </c>
      <c r="W25" s="211"/>
      <c r="AP25" s="170"/>
      <c r="AX25" s="170"/>
      <c r="AZ25" s="170"/>
    </row>
    <row r="26" spans="2:52">
      <c r="B26" s="178" t="s">
        <v>82</v>
      </c>
      <c r="C26" s="178" t="s">
        <v>83</v>
      </c>
      <c r="D26" s="224"/>
      <c r="E26" s="180" t="e">
        <f>#REF!</f>
        <v>#REF!</v>
      </c>
      <c r="F26" s="180" t="e">
        <f>#REF!</f>
        <v>#REF!</v>
      </c>
      <c r="G26" s="180" t="e">
        <f t="shared" si="2"/>
        <v>#REF!</v>
      </c>
      <c r="H26" s="180"/>
      <c r="I26" s="180" t="e">
        <f>#REF!</f>
        <v>#REF!</v>
      </c>
      <c r="J26" s="180" t="e">
        <f t="shared" si="5"/>
        <v>#REF!</v>
      </c>
      <c r="K26" s="204"/>
      <c r="L26" s="206"/>
      <c r="M26" s="206"/>
      <c r="N26" s="180">
        <v>285.16000000000003</v>
      </c>
      <c r="O26" s="180"/>
      <c r="P26" s="180"/>
      <c r="Q26" s="180"/>
      <c r="R26" s="180"/>
      <c r="S26" s="180"/>
      <c r="T26" s="180"/>
      <c r="U26" s="180">
        <f t="shared" si="3"/>
        <v>285.16000000000003</v>
      </c>
      <c r="V26" s="180" t="e">
        <f t="shared" si="4"/>
        <v>#REF!</v>
      </c>
      <c r="W26" s="211"/>
      <c r="AP26" s="170"/>
      <c r="AX26" s="170"/>
      <c r="AZ26" s="170"/>
    </row>
    <row r="27" spans="2:52">
      <c r="B27" s="178" t="s">
        <v>84</v>
      </c>
      <c r="C27" s="178" t="s">
        <v>75</v>
      </c>
      <c r="D27" s="221"/>
      <c r="E27" s="180">
        <f>ADELANTAR!N34</f>
        <v>4305</v>
      </c>
      <c r="F27" s="180">
        <f>ADELANTAR!N35</f>
        <v>312.28333333333336</v>
      </c>
      <c r="G27" s="183">
        <f t="shared" si="2"/>
        <v>3992.7166666666667</v>
      </c>
      <c r="H27" s="183">
        <f>ADELANTAR!N37</f>
        <v>153.75</v>
      </c>
      <c r="I27" s="180">
        <f>ADELANTAR!N38</f>
        <v>0</v>
      </c>
      <c r="J27" s="180">
        <f t="shared" si="5"/>
        <v>4146.4666666666672</v>
      </c>
      <c r="K27" s="204"/>
      <c r="L27" s="206">
        <v>180</v>
      </c>
      <c r="M27" s="206">
        <v>100</v>
      </c>
      <c r="N27" s="180">
        <v>285.16000000000003</v>
      </c>
      <c r="O27" s="180"/>
      <c r="P27" s="180"/>
      <c r="Q27" s="180"/>
      <c r="R27" s="180"/>
      <c r="S27" s="180"/>
      <c r="T27" s="180"/>
      <c r="U27" s="180">
        <f t="shared" si="3"/>
        <v>565.16000000000008</v>
      </c>
      <c r="V27" s="180">
        <f t="shared" si="4"/>
        <v>3581.3066666666673</v>
      </c>
      <c r="W27" s="211"/>
      <c r="AP27" s="170"/>
      <c r="AX27" s="170"/>
      <c r="AZ27" s="170"/>
    </row>
    <row r="28" spans="2:52">
      <c r="B28" s="178" t="s">
        <v>85</v>
      </c>
      <c r="C28" s="178" t="s">
        <v>86</v>
      </c>
      <c r="D28" s="223"/>
      <c r="E28" s="180" t="e">
        <f>#REF!</f>
        <v>#REF!</v>
      </c>
      <c r="F28" s="180" t="e">
        <f>#REF!</f>
        <v>#REF!</v>
      </c>
      <c r="G28" s="180" t="e">
        <f t="shared" si="2"/>
        <v>#REF!</v>
      </c>
      <c r="H28" s="183" t="e">
        <f>#REF!</f>
        <v>#REF!</v>
      </c>
      <c r="I28" s="180" t="e">
        <f>#REF!</f>
        <v>#REF!</v>
      </c>
      <c r="J28" s="180" t="e">
        <f t="shared" si="5"/>
        <v>#REF!</v>
      </c>
      <c r="K28" s="204"/>
      <c r="L28" s="206">
        <v>180</v>
      </c>
      <c r="M28" s="206">
        <v>100</v>
      </c>
      <c r="N28" s="180">
        <v>171.1</v>
      </c>
      <c r="O28" s="180"/>
      <c r="P28" s="180"/>
      <c r="Q28" s="180"/>
      <c r="R28" s="180"/>
      <c r="S28" s="180"/>
      <c r="T28" s="180"/>
      <c r="U28" s="180">
        <f t="shared" si="3"/>
        <v>451.1</v>
      </c>
      <c r="V28" s="180" t="e">
        <f t="shared" si="4"/>
        <v>#REF!</v>
      </c>
      <c r="W28" s="211"/>
      <c r="AP28" s="170"/>
      <c r="AX28" s="170"/>
      <c r="AZ28" s="170"/>
    </row>
    <row r="29" spans="2:52">
      <c r="B29" s="178" t="s">
        <v>87</v>
      </c>
      <c r="C29" s="178" t="s">
        <v>88</v>
      </c>
      <c r="D29" s="223"/>
      <c r="E29" s="180" t="e">
        <f>#REF!</f>
        <v>#REF!</v>
      </c>
      <c r="F29" s="180" t="e">
        <f>#REF!</f>
        <v>#REF!</v>
      </c>
      <c r="G29" s="180" t="e">
        <f t="shared" si="2"/>
        <v>#REF!</v>
      </c>
      <c r="H29" s="183" t="e">
        <f>#REF!</f>
        <v>#REF!</v>
      </c>
      <c r="I29" s="180" t="e">
        <f>#REF!</f>
        <v>#REF!</v>
      </c>
      <c r="J29" s="180" t="e">
        <f t="shared" si="5"/>
        <v>#REF!</v>
      </c>
      <c r="K29" s="204"/>
      <c r="L29" s="206"/>
      <c r="M29" s="206"/>
      <c r="N29" s="180"/>
      <c r="O29" s="180"/>
      <c r="P29" s="180"/>
      <c r="Q29" s="180"/>
      <c r="R29" s="180"/>
      <c r="S29" s="180"/>
      <c r="T29" s="180"/>
      <c r="U29" s="180"/>
      <c r="V29" s="180"/>
      <c r="W29" s="211"/>
      <c r="AP29" s="170"/>
      <c r="AX29" s="170"/>
      <c r="AZ29" s="170"/>
    </row>
    <row r="30" spans="2:52">
      <c r="B30" s="188" t="s">
        <v>89</v>
      </c>
      <c r="C30" s="178"/>
      <c r="D30" s="221"/>
      <c r="E30" s="180"/>
      <c r="F30" s="180"/>
      <c r="G30" s="183">
        <f t="shared" ref="G30:G62" si="6">E30-F30</f>
        <v>0</v>
      </c>
      <c r="H30" s="178"/>
      <c r="I30" s="180"/>
      <c r="J30" s="180">
        <f t="shared" ref="J30:J43" si="7">G30+H30+I30</f>
        <v>0</v>
      </c>
      <c r="K30" s="204"/>
      <c r="L30" s="206"/>
      <c r="M30" s="206"/>
      <c r="N30" s="178"/>
      <c r="O30" s="178"/>
      <c r="P30" s="180"/>
      <c r="Q30" s="180"/>
      <c r="R30" s="180"/>
      <c r="S30" s="180"/>
      <c r="T30" s="180"/>
      <c r="U30" s="180"/>
      <c r="V30" s="180">
        <f t="shared" ref="V30:V61" si="8">(J30+K30)-U30</f>
        <v>0</v>
      </c>
      <c r="W30" s="211"/>
    </row>
    <row r="31" spans="2:52">
      <c r="B31" s="178" t="s">
        <v>90</v>
      </c>
      <c r="C31" s="178" t="s">
        <v>91</v>
      </c>
      <c r="D31" s="223"/>
      <c r="E31" s="180" t="e">
        <f>#REF!</f>
        <v>#REF!</v>
      </c>
      <c r="F31" s="180" t="e">
        <f>#REF!</f>
        <v>#REF!</v>
      </c>
      <c r="G31" s="183" t="e">
        <f t="shared" si="6"/>
        <v>#REF!</v>
      </c>
      <c r="H31" s="183" t="e">
        <f>#REF!</f>
        <v>#REF!</v>
      </c>
      <c r="I31" s="180" t="e">
        <f>#REF!</f>
        <v>#REF!</v>
      </c>
      <c r="J31" s="180" t="e">
        <f t="shared" si="7"/>
        <v>#REF!</v>
      </c>
      <c r="K31" s="204"/>
      <c r="L31" s="206">
        <v>240</v>
      </c>
      <c r="M31" s="206">
        <v>500</v>
      </c>
      <c r="N31" s="180">
        <v>147.16999999999999</v>
      </c>
      <c r="O31" s="180"/>
      <c r="P31" s="180"/>
      <c r="Q31" s="180"/>
      <c r="R31" s="180">
        <v>1015.19</v>
      </c>
      <c r="S31" s="180">
        <v>1000</v>
      </c>
      <c r="T31" s="180"/>
      <c r="U31" s="180">
        <f t="shared" ref="U31:U36" si="9">SUM(L31:S31)</f>
        <v>2902.36</v>
      </c>
      <c r="V31" s="180" t="e">
        <f t="shared" si="8"/>
        <v>#REF!</v>
      </c>
      <c r="W31" s="211"/>
    </row>
    <row r="32" spans="2:52">
      <c r="B32" s="178" t="s">
        <v>92</v>
      </c>
      <c r="C32" s="178" t="s">
        <v>93</v>
      </c>
      <c r="D32" s="221"/>
      <c r="E32" s="180">
        <v>9250</v>
      </c>
      <c r="F32" s="180"/>
      <c r="G32" s="183">
        <f t="shared" si="6"/>
        <v>9250</v>
      </c>
      <c r="H32" s="178"/>
      <c r="I32" s="180"/>
      <c r="J32" s="180">
        <f t="shared" si="7"/>
        <v>9250</v>
      </c>
      <c r="K32" s="204"/>
      <c r="L32" s="206">
        <v>277.5</v>
      </c>
      <c r="M32" s="206">
        <v>100</v>
      </c>
      <c r="N32" s="180">
        <v>109.23</v>
      </c>
      <c r="O32" s="180"/>
      <c r="P32" s="180"/>
      <c r="Q32" s="180"/>
      <c r="R32" s="180"/>
      <c r="S32" s="180"/>
      <c r="T32" s="180"/>
      <c r="U32" s="180">
        <f t="shared" si="9"/>
        <v>486.73</v>
      </c>
      <c r="V32" s="180">
        <f t="shared" si="8"/>
        <v>8763.27</v>
      </c>
      <c r="W32" s="211"/>
    </row>
    <row r="33" spans="2:23">
      <c r="B33" s="178" t="s">
        <v>94</v>
      </c>
      <c r="C33" s="178" t="s">
        <v>95</v>
      </c>
      <c r="D33" s="221"/>
      <c r="E33" s="183">
        <v>7500</v>
      </c>
      <c r="F33" s="180"/>
      <c r="G33" s="183">
        <f t="shared" si="6"/>
        <v>7500</v>
      </c>
      <c r="H33" s="178"/>
      <c r="I33" s="183"/>
      <c r="J33" s="180">
        <f t="shared" si="7"/>
        <v>7500</v>
      </c>
      <c r="K33" s="207">
        <v>2000</v>
      </c>
      <c r="L33" s="180">
        <v>225</v>
      </c>
      <c r="M33" s="180"/>
      <c r="N33" s="180">
        <v>109.23</v>
      </c>
      <c r="O33" s="178"/>
      <c r="P33" s="180"/>
      <c r="Q33" s="180"/>
      <c r="R33" s="180"/>
      <c r="S33" s="180"/>
      <c r="T33" s="180"/>
      <c r="U33" s="180">
        <f t="shared" si="9"/>
        <v>334.23</v>
      </c>
      <c r="V33" s="180">
        <f t="shared" si="8"/>
        <v>9165.77</v>
      </c>
      <c r="W33" s="211"/>
    </row>
    <row r="34" spans="2:23">
      <c r="B34" s="178" t="s">
        <v>96</v>
      </c>
      <c r="C34" s="178" t="s">
        <v>97</v>
      </c>
      <c r="D34" s="221"/>
      <c r="E34" s="183">
        <v>7500</v>
      </c>
      <c r="F34" s="180"/>
      <c r="G34" s="183">
        <f t="shared" si="6"/>
        <v>7500</v>
      </c>
      <c r="H34" s="178"/>
      <c r="I34" s="183"/>
      <c r="J34" s="180">
        <f t="shared" si="7"/>
        <v>7500</v>
      </c>
      <c r="K34" s="207">
        <v>1000</v>
      </c>
      <c r="L34" s="180">
        <v>225</v>
      </c>
      <c r="M34" s="180">
        <v>100</v>
      </c>
      <c r="N34" s="180">
        <v>142.58000000000001</v>
      </c>
      <c r="O34" s="178"/>
      <c r="P34" s="180"/>
      <c r="Q34" s="180"/>
      <c r="R34" s="180"/>
      <c r="S34" s="180"/>
      <c r="T34" s="180"/>
      <c r="U34" s="180">
        <f t="shared" si="9"/>
        <v>467.58000000000004</v>
      </c>
      <c r="V34" s="180">
        <f t="shared" si="8"/>
        <v>8032.42</v>
      </c>
    </row>
    <row r="35" spans="2:23">
      <c r="B35" s="178" t="s">
        <v>98</v>
      </c>
      <c r="C35" s="178" t="s">
        <v>99</v>
      </c>
      <c r="D35" s="223"/>
      <c r="E35" s="183">
        <v>7500</v>
      </c>
      <c r="F35" s="180" t="e">
        <f>#REF!</f>
        <v>#REF!</v>
      </c>
      <c r="G35" s="183" t="e">
        <f t="shared" si="6"/>
        <v>#REF!</v>
      </c>
      <c r="H35" s="178"/>
      <c r="I35" s="183"/>
      <c r="J35" s="180" t="e">
        <f t="shared" si="7"/>
        <v>#REF!</v>
      </c>
      <c r="K35" s="207"/>
      <c r="L35" s="180">
        <v>225</v>
      </c>
      <c r="M35" s="180">
        <v>100</v>
      </c>
      <c r="N35" s="180">
        <v>71.290000000000006</v>
      </c>
      <c r="O35" s="178"/>
      <c r="P35" s="180"/>
      <c r="Q35" s="180"/>
      <c r="R35" s="180"/>
      <c r="S35" s="180"/>
      <c r="T35" s="180"/>
      <c r="U35" s="180">
        <f t="shared" si="9"/>
        <v>396.29</v>
      </c>
      <c r="V35" s="180" t="e">
        <f t="shared" si="8"/>
        <v>#REF!</v>
      </c>
    </row>
    <row r="36" spans="2:23">
      <c r="B36" s="178" t="s">
        <v>100</v>
      </c>
      <c r="C36" s="178" t="s">
        <v>101</v>
      </c>
      <c r="D36" s="221"/>
      <c r="E36" s="180" t="e">
        <f>#REF!</f>
        <v>#REF!</v>
      </c>
      <c r="F36" s="180" t="e">
        <f>#REF!</f>
        <v>#REF!</v>
      </c>
      <c r="G36" s="183" t="e">
        <f t="shared" si="6"/>
        <v>#REF!</v>
      </c>
      <c r="H36" s="178"/>
      <c r="I36" s="180" t="e">
        <f>#REF!</f>
        <v>#REF!</v>
      </c>
      <c r="J36" s="180" t="e">
        <f t="shared" si="7"/>
        <v>#REF!</v>
      </c>
      <c r="K36" s="207"/>
      <c r="L36" s="180">
        <v>150</v>
      </c>
      <c r="M36" s="180">
        <v>100</v>
      </c>
      <c r="N36" s="178"/>
      <c r="O36" s="178"/>
      <c r="P36" s="180"/>
      <c r="Q36" s="180"/>
      <c r="R36" s="180"/>
      <c r="S36" s="180"/>
      <c r="T36" s="180"/>
      <c r="U36" s="180">
        <f t="shared" si="9"/>
        <v>250</v>
      </c>
      <c r="V36" s="180" t="e">
        <f t="shared" si="8"/>
        <v>#REF!</v>
      </c>
    </row>
    <row r="37" spans="2:23" ht="12" customHeight="1">
      <c r="B37" s="188" t="s">
        <v>102</v>
      </c>
      <c r="C37" s="178"/>
      <c r="D37" s="221"/>
      <c r="E37" s="183"/>
      <c r="F37" s="180"/>
      <c r="G37" s="183">
        <f t="shared" si="6"/>
        <v>0</v>
      </c>
      <c r="H37" s="178"/>
      <c r="I37" s="183"/>
      <c r="J37" s="180">
        <f t="shared" si="7"/>
        <v>0</v>
      </c>
      <c r="K37" s="204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>
        <f t="shared" si="8"/>
        <v>0</v>
      </c>
      <c r="W37" s="211"/>
    </row>
    <row r="38" spans="2:23">
      <c r="B38" s="178" t="s">
        <v>103</v>
      </c>
      <c r="C38" s="178" t="s">
        <v>104</v>
      </c>
      <c r="D38" s="223"/>
      <c r="E38" s="180" t="e">
        <f>#REF!</f>
        <v>#REF!</v>
      </c>
      <c r="F38" s="180" t="e">
        <f>#REF!</f>
        <v>#REF!</v>
      </c>
      <c r="G38" s="183" t="e">
        <f t="shared" si="6"/>
        <v>#REF!</v>
      </c>
      <c r="H38" s="183" t="e">
        <f>#REF!</f>
        <v>#REF!</v>
      </c>
      <c r="I38" s="180" t="e">
        <f>#REF!</f>
        <v>#REF!</v>
      </c>
      <c r="J38" s="180" t="e">
        <f t="shared" si="7"/>
        <v>#REF!</v>
      </c>
      <c r="K38" s="204"/>
      <c r="L38" s="180">
        <v>240</v>
      </c>
      <c r="M38" s="180">
        <v>100</v>
      </c>
      <c r="N38" s="180">
        <v>71.290000000000006</v>
      </c>
      <c r="O38" s="180"/>
      <c r="P38" s="180"/>
      <c r="Q38" s="180">
        <v>292</v>
      </c>
      <c r="R38" s="180"/>
      <c r="S38" s="180"/>
      <c r="T38" s="180"/>
      <c r="U38" s="180">
        <f t="shared" ref="U38:U40" si="10">SUM(L38:S38)</f>
        <v>703.29</v>
      </c>
      <c r="V38" s="180" t="e">
        <f t="shared" si="8"/>
        <v>#REF!</v>
      </c>
      <c r="W38" s="211"/>
    </row>
    <row r="39" spans="2:23">
      <c r="B39" s="178" t="s">
        <v>105</v>
      </c>
      <c r="C39" s="178" t="s">
        <v>106</v>
      </c>
      <c r="D39" s="225"/>
      <c r="E39" s="180">
        <v>8500</v>
      </c>
      <c r="F39" s="180" t="e">
        <f>#REF!</f>
        <v>#REF!</v>
      </c>
      <c r="G39" s="183" t="e">
        <f t="shared" si="6"/>
        <v>#REF!</v>
      </c>
      <c r="H39" s="178"/>
      <c r="I39" s="180"/>
      <c r="J39" s="180" t="e">
        <f t="shared" si="7"/>
        <v>#REF!</v>
      </c>
      <c r="K39" s="204"/>
      <c r="L39" s="180">
        <v>255</v>
      </c>
      <c r="M39" s="180">
        <v>100</v>
      </c>
      <c r="N39" s="180">
        <v>71.290000000000006</v>
      </c>
      <c r="O39" s="180"/>
      <c r="P39" s="180"/>
      <c r="Q39" s="180">
        <v>292</v>
      </c>
      <c r="R39" s="180"/>
      <c r="S39" s="180"/>
      <c r="T39" s="180"/>
      <c r="U39" s="180">
        <f t="shared" si="10"/>
        <v>718.29</v>
      </c>
      <c r="V39" s="180" t="e">
        <f t="shared" si="8"/>
        <v>#REF!</v>
      </c>
      <c r="W39" s="211"/>
    </row>
    <row r="40" spans="2:23">
      <c r="B40" s="178" t="s">
        <v>107</v>
      </c>
      <c r="C40" s="178" t="s">
        <v>108</v>
      </c>
      <c r="D40" s="223"/>
      <c r="E40" s="180" t="e">
        <f>#REF!</f>
        <v>#REF!</v>
      </c>
      <c r="F40" s="180" t="e">
        <f>#REF!</f>
        <v>#REF!</v>
      </c>
      <c r="G40" s="183" t="e">
        <f t="shared" si="6"/>
        <v>#REF!</v>
      </c>
      <c r="H40" s="183" t="e">
        <f>#REF!</f>
        <v>#REF!</v>
      </c>
      <c r="I40" s="180" t="e">
        <f>#REF!</f>
        <v>#REF!</v>
      </c>
      <c r="J40" s="180" t="e">
        <f t="shared" si="7"/>
        <v>#REF!</v>
      </c>
      <c r="K40" s="204"/>
      <c r="L40" s="180">
        <v>180</v>
      </c>
      <c r="M40" s="180">
        <v>100</v>
      </c>
      <c r="N40" s="180">
        <v>142.58000000000001</v>
      </c>
      <c r="O40" s="180"/>
      <c r="P40" s="180"/>
      <c r="Q40" s="180"/>
      <c r="R40" s="180"/>
      <c r="S40" s="180"/>
      <c r="T40" s="180"/>
      <c r="U40" s="180">
        <f t="shared" si="10"/>
        <v>422.58000000000004</v>
      </c>
      <c r="V40" s="180" t="e">
        <f t="shared" si="8"/>
        <v>#REF!</v>
      </c>
      <c r="W40" s="211"/>
    </row>
    <row r="41" spans="2:23">
      <c r="B41" s="188" t="s">
        <v>109</v>
      </c>
      <c r="C41" s="178"/>
      <c r="D41" s="221"/>
      <c r="E41" s="180"/>
      <c r="F41" s="180"/>
      <c r="G41" s="183">
        <f t="shared" si="6"/>
        <v>0</v>
      </c>
      <c r="H41" s="178"/>
      <c r="I41" s="180"/>
      <c r="J41" s="180">
        <f t="shared" si="7"/>
        <v>0</v>
      </c>
      <c r="K41" s="204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>
        <f t="shared" si="8"/>
        <v>0</v>
      </c>
      <c r="W41" s="211"/>
    </row>
    <row r="42" spans="2:23">
      <c r="B42" s="178" t="s">
        <v>110</v>
      </c>
      <c r="C42" s="178" t="s">
        <v>111</v>
      </c>
      <c r="D42" s="223" t="e">
        <f>#REF!</f>
        <v>#REF!</v>
      </c>
      <c r="E42" s="183" t="e">
        <f>#REF!</f>
        <v>#REF!</v>
      </c>
      <c r="F42" s="180" t="e">
        <f>#REF!</f>
        <v>#REF!</v>
      </c>
      <c r="G42" s="183" t="e">
        <f t="shared" si="6"/>
        <v>#REF!</v>
      </c>
      <c r="H42" s="178"/>
      <c r="I42" s="183"/>
      <c r="J42" s="180" t="e">
        <f t="shared" si="7"/>
        <v>#REF!</v>
      </c>
      <c r="K42" s="207"/>
      <c r="L42" s="206">
        <v>180</v>
      </c>
      <c r="M42" s="180">
        <v>100</v>
      </c>
      <c r="N42" s="180"/>
      <c r="O42" s="180"/>
      <c r="P42" s="180"/>
      <c r="Q42" s="180"/>
      <c r="R42" s="180"/>
      <c r="S42" s="180"/>
      <c r="T42" s="180"/>
      <c r="U42" s="180">
        <f t="shared" ref="U42:U61" si="11">SUM(L42:S42)</f>
        <v>280</v>
      </c>
      <c r="V42" s="180" t="e">
        <f t="shared" si="8"/>
        <v>#REF!</v>
      </c>
      <c r="W42" s="213"/>
    </row>
    <row r="43" spans="2:23">
      <c r="B43" s="178" t="s">
        <v>112</v>
      </c>
      <c r="C43" s="178" t="s">
        <v>113</v>
      </c>
      <c r="D43" s="223" t="e">
        <f>#REF!</f>
        <v>#REF!</v>
      </c>
      <c r="E43" s="180" t="e">
        <f>#REF!</f>
        <v>#REF!</v>
      </c>
      <c r="F43" s="180" t="e">
        <f>#REF!</f>
        <v>#REF!</v>
      </c>
      <c r="G43" s="183" t="e">
        <f t="shared" si="6"/>
        <v>#REF!</v>
      </c>
      <c r="H43" s="178"/>
      <c r="I43" s="180" t="e">
        <f>#REF!</f>
        <v>#REF!</v>
      </c>
      <c r="J43" s="180" t="e">
        <f t="shared" si="7"/>
        <v>#REF!</v>
      </c>
      <c r="K43" s="207"/>
      <c r="L43" s="180">
        <v>180</v>
      </c>
      <c r="M43" s="180"/>
      <c r="N43" s="178"/>
      <c r="O43" s="178"/>
      <c r="P43" s="180"/>
      <c r="Q43" s="180"/>
      <c r="R43" s="180"/>
      <c r="S43" s="180"/>
      <c r="T43" s="180"/>
      <c r="U43" s="180">
        <f t="shared" si="11"/>
        <v>180</v>
      </c>
      <c r="V43" s="180" t="e">
        <f t="shared" si="8"/>
        <v>#REF!</v>
      </c>
      <c r="W43" s="213"/>
    </row>
    <row r="44" spans="2:23">
      <c r="B44" s="178" t="s">
        <v>114</v>
      </c>
      <c r="C44" s="178" t="s">
        <v>115</v>
      </c>
      <c r="D44" s="221" t="s">
        <v>116</v>
      </c>
      <c r="E44" s="180">
        <v>8500</v>
      </c>
      <c r="F44" s="180"/>
      <c r="G44" s="183">
        <f t="shared" si="6"/>
        <v>8500</v>
      </c>
      <c r="H44" s="178"/>
      <c r="I44" s="180"/>
      <c r="J44" s="180"/>
      <c r="K44" s="207">
        <v>2500</v>
      </c>
      <c r="L44" s="206">
        <v>255</v>
      </c>
      <c r="M44" s="180">
        <v>100</v>
      </c>
      <c r="N44" s="180">
        <v>218.46</v>
      </c>
      <c r="O44" s="180"/>
      <c r="P44" s="180"/>
      <c r="Q44" s="180"/>
      <c r="R44" s="180"/>
      <c r="S44" s="180"/>
      <c r="T44" s="180"/>
      <c r="U44" s="180">
        <f t="shared" si="11"/>
        <v>573.46</v>
      </c>
      <c r="V44" s="180">
        <f t="shared" si="8"/>
        <v>1926.54</v>
      </c>
      <c r="W44" s="213"/>
    </row>
    <row r="45" spans="2:23">
      <c r="B45" s="178" t="s">
        <v>117</v>
      </c>
      <c r="C45" s="178" t="s">
        <v>115</v>
      </c>
      <c r="D45" s="221" t="s">
        <v>116</v>
      </c>
      <c r="E45" s="183">
        <v>8500</v>
      </c>
      <c r="F45" s="180"/>
      <c r="G45" s="183">
        <f t="shared" si="6"/>
        <v>8500</v>
      </c>
      <c r="H45" s="178"/>
      <c r="I45" s="183"/>
      <c r="J45" s="180"/>
      <c r="K45" s="207">
        <v>2500</v>
      </c>
      <c r="L45" s="180">
        <v>255</v>
      </c>
      <c r="M45" s="180">
        <v>100</v>
      </c>
      <c r="N45" s="178">
        <v>142.58000000000001</v>
      </c>
      <c r="O45" s="178"/>
      <c r="P45" s="180"/>
      <c r="Q45" s="180"/>
      <c r="R45" s="180"/>
      <c r="S45" s="180"/>
      <c r="T45" s="180"/>
      <c r="U45" s="180">
        <f t="shared" si="11"/>
        <v>497.58000000000004</v>
      </c>
      <c r="V45" s="180">
        <f t="shared" si="8"/>
        <v>2002.42</v>
      </c>
      <c r="W45" s="213"/>
    </row>
    <row r="46" spans="2:23">
      <c r="B46" s="178" t="s">
        <v>118</v>
      </c>
      <c r="C46" s="178" t="s">
        <v>111</v>
      </c>
      <c r="D46" s="221" t="s">
        <v>116</v>
      </c>
      <c r="E46" s="180">
        <v>6500</v>
      </c>
      <c r="F46" s="180"/>
      <c r="G46" s="183">
        <f t="shared" si="6"/>
        <v>6500</v>
      </c>
      <c r="H46" s="178"/>
      <c r="I46" s="180"/>
      <c r="J46" s="180"/>
      <c r="K46" s="207">
        <v>2500</v>
      </c>
      <c r="L46" s="206">
        <v>210</v>
      </c>
      <c r="M46" s="180">
        <v>100</v>
      </c>
      <c r="N46" s="180">
        <v>218.46</v>
      </c>
      <c r="O46" s="180"/>
      <c r="P46" s="180"/>
      <c r="Q46" s="180"/>
      <c r="R46" s="180"/>
      <c r="S46" s="180"/>
      <c r="T46" s="180">
        <v>1798.71</v>
      </c>
      <c r="U46" s="180">
        <f t="shared" si="11"/>
        <v>528.46</v>
      </c>
      <c r="V46" s="180">
        <f>(G46+K46+T46)-U46</f>
        <v>10270.25</v>
      </c>
    </row>
    <row r="47" spans="2:23">
      <c r="B47" s="178" t="s">
        <v>119</v>
      </c>
      <c r="C47" s="178" t="s">
        <v>111</v>
      </c>
      <c r="D47" s="221" t="s">
        <v>116</v>
      </c>
      <c r="E47" s="180">
        <v>6000</v>
      </c>
      <c r="F47" s="180"/>
      <c r="G47" s="183">
        <f t="shared" si="6"/>
        <v>6000</v>
      </c>
      <c r="H47" s="178"/>
      <c r="I47" s="180"/>
      <c r="J47" s="180"/>
      <c r="K47" s="207">
        <v>2500</v>
      </c>
      <c r="L47" s="206">
        <v>195</v>
      </c>
      <c r="M47" s="180">
        <v>100</v>
      </c>
      <c r="N47" s="180">
        <v>142.58000000000001</v>
      </c>
      <c r="O47" s="180"/>
      <c r="P47" s="180"/>
      <c r="Q47" s="180"/>
      <c r="R47" s="180"/>
      <c r="S47" s="180"/>
      <c r="T47" s="180"/>
      <c r="U47" s="180">
        <f t="shared" si="11"/>
        <v>437.58000000000004</v>
      </c>
      <c r="V47" s="180">
        <f t="shared" si="8"/>
        <v>2062.42</v>
      </c>
    </row>
    <row r="48" spans="2:23">
      <c r="B48" s="178" t="s">
        <v>120</v>
      </c>
      <c r="C48" s="178" t="s">
        <v>111</v>
      </c>
      <c r="D48" s="221" t="s">
        <v>116</v>
      </c>
      <c r="E48" s="183">
        <v>6000</v>
      </c>
      <c r="F48" s="180"/>
      <c r="G48" s="183">
        <f t="shared" si="6"/>
        <v>6000</v>
      </c>
      <c r="H48" s="178"/>
      <c r="I48" s="183"/>
      <c r="J48" s="180"/>
      <c r="K48" s="207">
        <v>2500</v>
      </c>
      <c r="L48" s="180">
        <v>180</v>
      </c>
      <c r="M48" s="180">
        <v>100</v>
      </c>
      <c r="N48" s="178">
        <v>142.58000000000001</v>
      </c>
      <c r="O48" s="178"/>
      <c r="P48" s="180"/>
      <c r="Q48" s="180"/>
      <c r="R48" s="180"/>
      <c r="S48" s="180"/>
      <c r="T48" s="180"/>
      <c r="U48" s="180">
        <f t="shared" si="11"/>
        <v>422.58000000000004</v>
      </c>
      <c r="V48" s="180">
        <f t="shared" si="8"/>
        <v>2077.42</v>
      </c>
    </row>
    <row r="49" spans="2:23">
      <c r="B49" s="178" t="s">
        <v>121</v>
      </c>
      <c r="C49" s="178" t="s">
        <v>111</v>
      </c>
      <c r="D49" s="221" t="s">
        <v>116</v>
      </c>
      <c r="E49" s="183">
        <v>6000</v>
      </c>
      <c r="F49" s="180"/>
      <c r="G49" s="183">
        <f t="shared" si="6"/>
        <v>6000</v>
      </c>
      <c r="H49" s="178"/>
      <c r="I49" s="183"/>
      <c r="J49" s="180"/>
      <c r="K49" s="207">
        <v>2500</v>
      </c>
      <c r="L49" s="180">
        <v>180</v>
      </c>
      <c r="M49" s="180">
        <v>100</v>
      </c>
      <c r="N49" s="178">
        <v>218.46</v>
      </c>
      <c r="O49" s="178"/>
      <c r="P49" s="180"/>
      <c r="Q49" s="180"/>
      <c r="R49" s="180"/>
      <c r="S49" s="180"/>
      <c r="T49" s="180"/>
      <c r="U49" s="180">
        <f t="shared" si="11"/>
        <v>498.46000000000004</v>
      </c>
      <c r="V49" s="180">
        <f t="shared" si="8"/>
        <v>2001.54</v>
      </c>
    </row>
    <row r="50" spans="2:23">
      <c r="B50" s="178" t="s">
        <v>122</v>
      </c>
      <c r="C50" s="178" t="s">
        <v>113</v>
      </c>
      <c r="D50" s="221" t="s">
        <v>116</v>
      </c>
      <c r="E50" s="183">
        <v>5000</v>
      </c>
      <c r="F50" s="180"/>
      <c r="G50" s="183">
        <f t="shared" si="6"/>
        <v>5000</v>
      </c>
      <c r="H50" s="178"/>
      <c r="I50" s="183"/>
      <c r="J50" s="180"/>
      <c r="K50" s="207">
        <v>2500</v>
      </c>
      <c r="L50" s="180">
        <v>150</v>
      </c>
      <c r="M50" s="180"/>
      <c r="N50" s="178"/>
      <c r="O50" s="178"/>
      <c r="P50" s="180"/>
      <c r="Q50" s="180"/>
      <c r="R50" s="180"/>
      <c r="S50" s="180"/>
      <c r="T50" s="180"/>
      <c r="U50" s="180">
        <f t="shared" si="11"/>
        <v>150</v>
      </c>
      <c r="V50" s="180">
        <f t="shared" si="8"/>
        <v>2350</v>
      </c>
    </row>
    <row r="51" spans="2:23">
      <c r="B51" s="178" t="s">
        <v>123</v>
      </c>
      <c r="C51" s="178" t="s">
        <v>113</v>
      </c>
      <c r="D51" s="221" t="s">
        <v>116</v>
      </c>
      <c r="E51" s="183">
        <v>5000</v>
      </c>
      <c r="F51" s="180"/>
      <c r="G51" s="183">
        <f t="shared" si="6"/>
        <v>5000</v>
      </c>
      <c r="H51" s="178"/>
      <c r="I51" s="183"/>
      <c r="J51" s="180"/>
      <c r="K51" s="207">
        <v>2500</v>
      </c>
      <c r="L51" s="180"/>
      <c r="M51" s="180"/>
      <c r="N51" s="178"/>
      <c r="O51" s="178"/>
      <c r="P51" s="180"/>
      <c r="Q51" s="180"/>
      <c r="R51" s="180"/>
      <c r="S51" s="180"/>
      <c r="T51" s="180"/>
      <c r="U51" s="180">
        <f t="shared" si="11"/>
        <v>0</v>
      </c>
      <c r="V51" s="180">
        <f t="shared" si="8"/>
        <v>2500</v>
      </c>
    </row>
    <row r="52" spans="2:23">
      <c r="B52" s="178" t="s">
        <v>124</v>
      </c>
      <c r="C52" s="178" t="s">
        <v>113</v>
      </c>
      <c r="D52" s="221" t="s">
        <v>116</v>
      </c>
      <c r="E52" s="183">
        <v>5000</v>
      </c>
      <c r="F52" s="180"/>
      <c r="G52" s="183">
        <f t="shared" si="6"/>
        <v>5000</v>
      </c>
      <c r="H52" s="178"/>
      <c r="I52" s="183"/>
      <c r="J52" s="180"/>
      <c r="K52" s="207">
        <v>2500</v>
      </c>
      <c r="L52" s="180">
        <v>150</v>
      </c>
      <c r="M52" s="180">
        <v>100</v>
      </c>
      <c r="N52" s="178"/>
      <c r="O52" s="178"/>
      <c r="P52" s="180"/>
      <c r="Q52" s="180"/>
      <c r="R52" s="180"/>
      <c r="S52" s="180"/>
      <c r="T52" s="180"/>
      <c r="U52" s="180">
        <f t="shared" si="11"/>
        <v>250</v>
      </c>
      <c r="V52" s="180">
        <f t="shared" si="8"/>
        <v>2250</v>
      </c>
    </row>
    <row r="53" spans="2:23">
      <c r="B53" s="178" t="s">
        <v>125</v>
      </c>
      <c r="C53" s="178" t="s">
        <v>113</v>
      </c>
      <c r="D53" s="221" t="s">
        <v>116</v>
      </c>
      <c r="E53" s="183">
        <v>5000</v>
      </c>
      <c r="F53" s="180"/>
      <c r="G53" s="183">
        <f t="shared" si="6"/>
        <v>5000</v>
      </c>
      <c r="H53" s="178"/>
      <c r="I53" s="183"/>
      <c r="J53" s="180"/>
      <c r="K53" s="207">
        <v>2500</v>
      </c>
      <c r="L53" s="180">
        <v>150</v>
      </c>
      <c r="M53" s="180">
        <v>100</v>
      </c>
      <c r="N53" s="178"/>
      <c r="O53" s="178"/>
      <c r="P53" s="180"/>
      <c r="Q53" s="180"/>
      <c r="R53" s="180"/>
      <c r="S53" s="180"/>
      <c r="T53" s="180"/>
      <c r="U53" s="180">
        <f t="shared" si="11"/>
        <v>250</v>
      </c>
      <c r="V53" s="180">
        <f t="shared" si="8"/>
        <v>2250</v>
      </c>
    </row>
    <row r="54" spans="2:23">
      <c r="B54" s="178" t="s">
        <v>126</v>
      </c>
      <c r="C54" s="178" t="s">
        <v>113</v>
      </c>
      <c r="D54" s="221" t="s">
        <v>116</v>
      </c>
      <c r="E54" s="183">
        <v>5000</v>
      </c>
      <c r="F54" s="180"/>
      <c r="G54" s="183">
        <f t="shared" si="6"/>
        <v>5000</v>
      </c>
      <c r="H54" s="178"/>
      <c r="I54" s="183"/>
      <c r="J54" s="180"/>
      <c r="K54" s="207">
        <v>2500</v>
      </c>
      <c r="L54" s="180">
        <v>150</v>
      </c>
      <c r="M54" s="180"/>
      <c r="N54" s="178"/>
      <c r="O54" s="178"/>
      <c r="P54" s="180"/>
      <c r="Q54" s="180"/>
      <c r="R54" s="180"/>
      <c r="S54" s="180"/>
      <c r="T54" s="180"/>
      <c r="U54" s="180">
        <f t="shared" si="11"/>
        <v>150</v>
      </c>
      <c r="V54" s="180">
        <f t="shared" si="8"/>
        <v>2350</v>
      </c>
    </row>
    <row r="55" spans="2:23">
      <c r="B55" s="178" t="s">
        <v>127</v>
      </c>
      <c r="C55" s="178" t="s">
        <v>113</v>
      </c>
      <c r="D55" s="221" t="s">
        <v>116</v>
      </c>
      <c r="E55" s="183">
        <v>5000</v>
      </c>
      <c r="F55" s="180"/>
      <c r="G55" s="183">
        <f t="shared" si="6"/>
        <v>5000</v>
      </c>
      <c r="H55" s="178"/>
      <c r="I55" s="183"/>
      <c r="J55" s="180"/>
      <c r="K55" s="207">
        <v>2500</v>
      </c>
      <c r="L55" s="180"/>
      <c r="M55" s="180"/>
      <c r="N55" s="178"/>
      <c r="O55" s="178"/>
      <c r="P55" s="180"/>
      <c r="Q55" s="180"/>
      <c r="R55" s="180"/>
      <c r="S55" s="180"/>
      <c r="T55" s="180"/>
      <c r="U55" s="180">
        <f t="shared" si="11"/>
        <v>0</v>
      </c>
      <c r="V55" s="180">
        <f t="shared" si="8"/>
        <v>2500</v>
      </c>
    </row>
    <row r="56" spans="2:23">
      <c r="B56" s="178" t="s">
        <v>128</v>
      </c>
      <c r="C56" s="178" t="s">
        <v>113</v>
      </c>
      <c r="D56" s="221" t="s">
        <v>116</v>
      </c>
      <c r="E56" s="183">
        <v>5000</v>
      </c>
      <c r="F56" s="180"/>
      <c r="G56" s="183">
        <f t="shared" si="6"/>
        <v>5000</v>
      </c>
      <c r="H56" s="178"/>
      <c r="I56" s="183"/>
      <c r="J56" s="180"/>
      <c r="K56" s="207">
        <v>2500</v>
      </c>
      <c r="L56" s="180">
        <v>150</v>
      </c>
      <c r="M56" s="180">
        <v>100</v>
      </c>
      <c r="N56" s="178"/>
      <c r="O56" s="178"/>
      <c r="P56" s="180"/>
      <c r="Q56" s="180"/>
      <c r="R56" s="180"/>
      <c r="S56" s="180"/>
      <c r="T56" s="180"/>
      <c r="U56" s="180">
        <f t="shared" si="11"/>
        <v>250</v>
      </c>
      <c r="V56" s="180">
        <f t="shared" si="8"/>
        <v>2250</v>
      </c>
    </row>
    <row r="57" spans="2:23">
      <c r="B57" s="178" t="s">
        <v>129</v>
      </c>
      <c r="C57" s="178" t="s">
        <v>113</v>
      </c>
      <c r="D57" s="221" t="s">
        <v>116</v>
      </c>
      <c r="E57" s="183">
        <v>5000</v>
      </c>
      <c r="F57" s="180"/>
      <c r="G57" s="183">
        <f t="shared" si="6"/>
        <v>5000</v>
      </c>
      <c r="H57" s="178"/>
      <c r="I57" s="183"/>
      <c r="J57" s="180"/>
      <c r="K57" s="207">
        <v>2500</v>
      </c>
      <c r="L57" s="180">
        <v>150</v>
      </c>
      <c r="M57" s="180"/>
      <c r="N57" s="178"/>
      <c r="O57" s="178"/>
      <c r="P57" s="180"/>
      <c r="Q57" s="180"/>
      <c r="R57" s="180"/>
      <c r="S57" s="180"/>
      <c r="T57" s="180"/>
      <c r="U57" s="180">
        <f t="shared" si="11"/>
        <v>150</v>
      </c>
      <c r="V57" s="180">
        <f t="shared" si="8"/>
        <v>2350</v>
      </c>
    </row>
    <row r="58" spans="2:23">
      <c r="B58" s="178" t="s">
        <v>130</v>
      </c>
      <c r="C58" s="178" t="s">
        <v>113</v>
      </c>
      <c r="D58" s="221" t="s">
        <v>116</v>
      </c>
      <c r="E58" s="183">
        <v>5000</v>
      </c>
      <c r="F58" s="180"/>
      <c r="G58" s="183">
        <f t="shared" si="6"/>
        <v>5000</v>
      </c>
      <c r="H58" s="178"/>
      <c r="I58" s="183"/>
      <c r="J58" s="180"/>
      <c r="K58" s="207">
        <v>2500</v>
      </c>
      <c r="L58" s="180">
        <v>150</v>
      </c>
      <c r="M58" s="180"/>
      <c r="N58" s="178"/>
      <c r="O58" s="178"/>
      <c r="P58" s="180"/>
      <c r="Q58" s="180"/>
      <c r="R58" s="180"/>
      <c r="S58" s="180"/>
      <c r="T58" s="180"/>
      <c r="U58" s="180">
        <f t="shared" si="11"/>
        <v>150</v>
      </c>
      <c r="V58" s="180">
        <f t="shared" si="8"/>
        <v>2350</v>
      </c>
    </row>
    <row r="59" spans="2:23">
      <c r="B59" s="178" t="s">
        <v>131</v>
      </c>
      <c r="C59" s="178" t="s">
        <v>113</v>
      </c>
      <c r="D59" s="221" t="s">
        <v>116</v>
      </c>
      <c r="E59" s="183">
        <v>5000</v>
      </c>
      <c r="F59" s="180"/>
      <c r="G59" s="183">
        <f t="shared" si="6"/>
        <v>5000</v>
      </c>
      <c r="H59" s="178"/>
      <c r="I59" s="183"/>
      <c r="J59" s="180"/>
      <c r="K59" s="207">
        <v>2500</v>
      </c>
      <c r="L59" s="180">
        <v>150</v>
      </c>
      <c r="M59" s="180">
        <v>100</v>
      </c>
      <c r="N59" s="178"/>
      <c r="O59" s="178"/>
      <c r="P59" s="180"/>
      <c r="Q59" s="180"/>
      <c r="R59" s="180"/>
      <c r="S59" s="180"/>
      <c r="T59" s="180"/>
      <c r="U59" s="180">
        <f t="shared" si="11"/>
        <v>250</v>
      </c>
      <c r="V59" s="180">
        <f t="shared" si="8"/>
        <v>2250</v>
      </c>
    </row>
    <row r="60" spans="2:23">
      <c r="B60" s="178" t="s">
        <v>132</v>
      </c>
      <c r="C60" s="178" t="s">
        <v>113</v>
      </c>
      <c r="D60" s="221" t="s">
        <v>116</v>
      </c>
      <c r="E60" s="183">
        <v>5000</v>
      </c>
      <c r="F60" s="180"/>
      <c r="G60" s="183">
        <f t="shared" si="6"/>
        <v>5000</v>
      </c>
      <c r="H60" s="178"/>
      <c r="I60" s="183"/>
      <c r="J60" s="180"/>
      <c r="K60" s="207">
        <v>2500</v>
      </c>
      <c r="L60" s="180">
        <v>150</v>
      </c>
      <c r="M60" s="180">
        <v>100</v>
      </c>
      <c r="N60" s="178"/>
      <c r="O60" s="178"/>
      <c r="P60" s="180"/>
      <c r="Q60" s="180"/>
      <c r="R60" s="180"/>
      <c r="S60" s="180"/>
      <c r="T60" s="180"/>
      <c r="U60" s="180">
        <f t="shared" si="11"/>
        <v>250</v>
      </c>
      <c r="V60" s="180">
        <f t="shared" si="8"/>
        <v>2250</v>
      </c>
    </row>
    <row r="61" spans="2:23">
      <c r="B61" s="178" t="s">
        <v>133</v>
      </c>
      <c r="C61" s="178" t="s">
        <v>113</v>
      </c>
      <c r="D61" s="221" t="s">
        <v>116</v>
      </c>
      <c r="E61" s="183">
        <v>5000</v>
      </c>
      <c r="F61" s="180"/>
      <c r="G61" s="183">
        <f t="shared" si="6"/>
        <v>5000</v>
      </c>
      <c r="H61" s="178"/>
      <c r="I61" s="183"/>
      <c r="J61" s="180"/>
      <c r="K61" s="207">
        <v>2500</v>
      </c>
      <c r="L61" s="180">
        <v>150</v>
      </c>
      <c r="M61" s="180"/>
      <c r="N61" s="178"/>
      <c r="O61" s="178"/>
      <c r="P61" s="180"/>
      <c r="Q61" s="180"/>
      <c r="R61" s="180"/>
      <c r="S61" s="180"/>
      <c r="T61" s="180"/>
      <c r="U61" s="180">
        <f t="shared" si="11"/>
        <v>150</v>
      </c>
      <c r="V61" s="180">
        <f t="shared" si="8"/>
        <v>2350</v>
      </c>
    </row>
    <row r="62" spans="2:23">
      <c r="B62" s="178" t="s">
        <v>134</v>
      </c>
      <c r="C62" s="178" t="s">
        <v>113</v>
      </c>
      <c r="D62" s="221" t="s">
        <v>116</v>
      </c>
      <c r="E62" s="183">
        <v>5000</v>
      </c>
      <c r="F62" s="180"/>
      <c r="G62" s="183">
        <f t="shared" si="6"/>
        <v>5000</v>
      </c>
      <c r="H62" s="178"/>
      <c r="I62" s="183"/>
      <c r="J62" s="180"/>
      <c r="K62" s="207">
        <v>2500</v>
      </c>
      <c r="L62" s="180">
        <v>150</v>
      </c>
      <c r="M62" s="180">
        <v>100</v>
      </c>
      <c r="N62" s="178"/>
      <c r="O62" s="178"/>
      <c r="P62" s="180"/>
      <c r="Q62" s="180"/>
      <c r="R62" s="180"/>
      <c r="S62" s="180"/>
      <c r="T62" s="180"/>
      <c r="U62" s="180"/>
      <c r="V62" s="180"/>
    </row>
    <row r="63" spans="2:23">
      <c r="B63" s="178"/>
      <c r="C63" s="178"/>
      <c r="D63" s="221"/>
      <c r="E63" s="183"/>
      <c r="F63" s="180"/>
      <c r="G63" s="183"/>
      <c r="H63" s="178"/>
      <c r="I63" s="183"/>
      <c r="J63" s="180"/>
      <c r="K63" s="207"/>
      <c r="L63" s="180"/>
      <c r="M63" s="180"/>
      <c r="N63" s="178"/>
      <c r="O63" s="178"/>
      <c r="P63" s="180"/>
      <c r="Q63" s="180"/>
      <c r="R63" s="180"/>
      <c r="S63" s="180"/>
      <c r="T63" s="180"/>
      <c r="U63" s="180"/>
      <c r="V63" s="180"/>
    </row>
    <row r="64" spans="2:23">
      <c r="B64" s="188" t="s">
        <v>135</v>
      </c>
      <c r="C64" s="188"/>
      <c r="D64" s="226"/>
      <c r="E64" s="193" t="e">
        <f>SUM(E13:E62)</f>
        <v>#REF!</v>
      </c>
      <c r="F64" s="193" t="e">
        <f>SUM(F13:F62)</f>
        <v>#REF!</v>
      </c>
      <c r="G64" s="183" t="e">
        <f>E64-F64</f>
        <v>#REF!</v>
      </c>
      <c r="H64" s="193" t="e">
        <f>SUM(H13:H62)</f>
        <v>#REF!</v>
      </c>
      <c r="I64" s="193" t="e">
        <f>SUM(I13:I62)</f>
        <v>#REF!</v>
      </c>
      <c r="J64" s="193"/>
      <c r="K64" s="208">
        <f t="shared" ref="K64:R64" si="12">SUM(K13:K62)</f>
        <v>69250</v>
      </c>
      <c r="L64" s="209"/>
      <c r="M64" s="209"/>
      <c r="N64" s="193">
        <f t="shared" si="12"/>
        <v>4071.2499999999995</v>
      </c>
      <c r="O64" s="193">
        <f t="shared" si="12"/>
        <v>1400.03</v>
      </c>
      <c r="P64" s="209">
        <f t="shared" si="12"/>
        <v>2487</v>
      </c>
      <c r="Q64" s="209">
        <f t="shared" si="12"/>
        <v>10959</v>
      </c>
      <c r="R64" s="209">
        <f t="shared" si="12"/>
        <v>1015.19</v>
      </c>
      <c r="S64" s="209">
        <f>SUM(S12:S62)</f>
        <v>9542.5</v>
      </c>
      <c r="T64" s="209">
        <f>SUM(T12:T62)</f>
        <v>1798.71</v>
      </c>
      <c r="U64" s="209">
        <f>SUM(U13:U62)</f>
        <v>42120.030000000013</v>
      </c>
      <c r="V64" s="193" t="e">
        <f>SUM(V13:V62)</f>
        <v>#REF!</v>
      </c>
      <c r="W64" s="213"/>
    </row>
    <row r="65" spans="2:25">
      <c r="B65" s="194"/>
      <c r="C65" s="194"/>
      <c r="D65" s="227"/>
      <c r="E65" s="194"/>
      <c r="F65" s="196"/>
      <c r="G65" s="194"/>
      <c r="H65" s="194"/>
      <c r="I65" s="194"/>
      <c r="J65" s="194"/>
      <c r="K65" s="210"/>
      <c r="L65" s="210"/>
      <c r="M65" s="194"/>
      <c r="N65" s="194"/>
      <c r="O65" s="210"/>
      <c r="P65" s="210"/>
      <c r="Q65" s="210"/>
      <c r="R65" s="210"/>
      <c r="S65" s="210"/>
      <c r="T65" s="210"/>
      <c r="U65" s="211"/>
    </row>
    <row r="66" spans="2:25">
      <c r="B66" s="194" t="s">
        <v>136</v>
      </c>
      <c r="G66" s="194" t="s">
        <v>137</v>
      </c>
      <c r="H66" s="194"/>
      <c r="O66" s="194" t="s">
        <v>138</v>
      </c>
      <c r="P66" s="194"/>
      <c r="Q66" s="194"/>
      <c r="R66" s="194"/>
      <c r="S66" s="168"/>
      <c r="T66" s="168" t="s">
        <v>139</v>
      </c>
      <c r="U66" s="211"/>
    </row>
    <row r="67" spans="2:25">
      <c r="B67" s="194"/>
      <c r="I67" s="194"/>
      <c r="K67" s="168"/>
      <c r="O67" s="168"/>
      <c r="P67" s="168"/>
      <c r="Q67" s="168"/>
      <c r="R67" s="168"/>
      <c r="S67" s="168"/>
      <c r="T67" s="168"/>
      <c r="W67" s="194"/>
      <c r="Y67" s="196"/>
    </row>
    <row r="68" spans="2:25">
      <c r="B68" s="194" t="s">
        <v>140</v>
      </c>
      <c r="G68" s="194" t="s">
        <v>141</v>
      </c>
      <c r="K68" s="168"/>
      <c r="O68" s="194" t="s">
        <v>142</v>
      </c>
      <c r="P68" s="194"/>
      <c r="Q68" s="168"/>
      <c r="R68" s="168"/>
      <c r="S68" s="168"/>
      <c r="T68" s="194" t="s">
        <v>143</v>
      </c>
      <c r="Y68" s="170"/>
    </row>
    <row r="69" spans="2:25">
      <c r="B69" s="168" t="s">
        <v>91</v>
      </c>
      <c r="G69" s="168" t="s">
        <v>144</v>
      </c>
      <c r="K69" s="168"/>
      <c r="O69" s="168" t="s">
        <v>68</v>
      </c>
      <c r="P69" s="168"/>
      <c r="Q69" s="168"/>
      <c r="R69" s="168"/>
      <c r="S69" s="168"/>
      <c r="T69" s="168" t="s">
        <v>145</v>
      </c>
      <c r="Y69" s="170"/>
    </row>
    <row r="70" spans="2:25">
      <c r="K70" s="168"/>
      <c r="O70" s="168"/>
      <c r="P70" s="168"/>
      <c r="Y70" s="170"/>
    </row>
    <row r="71" spans="2:25">
      <c r="B71" s="194"/>
      <c r="E71" s="194"/>
      <c r="I71" s="194"/>
    </row>
    <row r="72" spans="2:25">
      <c r="B72" s="194"/>
      <c r="E72" s="194"/>
      <c r="F72" s="196"/>
      <c r="G72" s="194"/>
      <c r="H72" s="194"/>
      <c r="I72" s="194"/>
    </row>
    <row r="73" spans="2:25">
      <c r="B73" s="194"/>
      <c r="E73" s="194"/>
      <c r="F73" s="196"/>
      <c r="G73" s="194"/>
      <c r="H73" s="194"/>
      <c r="I73" s="194"/>
    </row>
  </sheetData>
  <autoFilter ref="B8:B74" xr:uid="{00000000-0009-0000-0000-000002000000}"/>
  <mergeCells count="21">
    <mergeCell ref="T10:T11"/>
    <mergeCell ref="U8:U11"/>
    <mergeCell ref="V8:V11"/>
    <mergeCell ref="L8:N9"/>
    <mergeCell ref="O8:S9"/>
    <mergeCell ref="B3:V3"/>
    <mergeCell ref="B8:B11"/>
    <mergeCell ref="C8:C11"/>
    <mergeCell ref="D8:D11"/>
    <mergeCell ref="E8:E11"/>
    <mergeCell ref="F8:F11"/>
    <mergeCell ref="G8:G11"/>
    <mergeCell ref="H8:H11"/>
    <mergeCell ref="I8:I11"/>
    <mergeCell ref="J8:J11"/>
    <mergeCell ref="K8:K11"/>
    <mergeCell ref="O10:O11"/>
    <mergeCell ref="P10:P11"/>
    <mergeCell ref="Q10:Q11"/>
    <mergeCell ref="R10:R11"/>
    <mergeCell ref="S10:S11"/>
  </mergeCells>
  <pageMargins left="0" right="0" top="0" bottom="0" header="0.3" footer="0.3"/>
  <pageSetup paperSize="9" scale="63" orientation="landscape" horizontalDpi="360" verticalDpi="360" r:id="rId1"/>
  <rowBreaks count="1" manualBreakCount="1">
    <brk id="69" max="22" man="1"/>
  </rowBreaks>
  <colBreaks count="1" manualBreakCount="1">
    <brk id="22" max="69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"/>
  <sheetViews>
    <sheetView workbookViewId="0">
      <selection activeCell="K21" sqref="K21"/>
    </sheetView>
  </sheetViews>
  <sheetFormatPr defaultColWidth="9" defaultRowHeight="12.7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B3:AZ76"/>
  <sheetViews>
    <sheetView topLeftCell="B25" zoomScale="96" zoomScaleNormal="96" zoomScaleSheetLayoutView="96" workbookViewId="0">
      <selection activeCell="L64" sqref="L64"/>
    </sheetView>
  </sheetViews>
  <sheetFormatPr defaultColWidth="8" defaultRowHeight="12"/>
  <cols>
    <col min="1" max="1" width="3.125" style="168" customWidth="1"/>
    <col min="2" max="2" width="19.125" style="168" customWidth="1"/>
    <col min="3" max="3" width="17.5" style="168" customWidth="1"/>
    <col min="4" max="4" width="5.375" style="168" customWidth="1"/>
    <col min="5" max="5" width="9.375" style="168" customWidth="1"/>
    <col min="6" max="6" width="7.625" style="170" customWidth="1"/>
    <col min="7" max="8" width="7.625" style="168" customWidth="1"/>
    <col min="9" max="9" width="9.375" style="168" customWidth="1"/>
    <col min="10" max="10" width="9" style="168" customWidth="1"/>
    <col min="11" max="11" width="8.125" style="170" customWidth="1"/>
    <col min="12" max="12" width="7.125" style="170" customWidth="1"/>
    <col min="13" max="13" width="8" style="168"/>
    <col min="14" max="15" width="7.625" style="170" customWidth="1"/>
    <col min="16" max="16" width="8.5" style="170" customWidth="1"/>
    <col min="17" max="19" width="7.625" style="170" customWidth="1"/>
    <col min="20" max="20" width="8.625" style="168" customWidth="1"/>
    <col min="21" max="21" width="13.375" style="170" customWidth="1"/>
    <col min="22" max="22" width="9" style="168" customWidth="1"/>
    <col min="23" max="16384" width="8" style="168"/>
  </cols>
  <sheetData>
    <row r="3" spans="2:52" ht="15">
      <c r="B3" s="529" t="s">
        <v>31</v>
      </c>
      <c r="C3" s="529"/>
      <c r="D3" s="529"/>
      <c r="E3" s="529"/>
      <c r="F3" s="529"/>
      <c r="G3" s="529"/>
      <c r="H3" s="529"/>
      <c r="I3" s="529"/>
      <c r="J3" s="529"/>
      <c r="K3" s="529"/>
      <c r="L3" s="529"/>
      <c r="M3" s="529"/>
      <c r="N3" s="529"/>
      <c r="O3" s="529"/>
      <c r="P3" s="529"/>
      <c r="Q3" s="529"/>
      <c r="R3" s="529"/>
      <c r="S3" s="529"/>
      <c r="T3" s="529"/>
      <c r="U3" s="529"/>
    </row>
    <row r="4" spans="2:52" ht="15" customHeight="1">
      <c r="B4" s="22" t="s">
        <v>32</v>
      </c>
    </row>
    <row r="5" spans="2:52" ht="15" customHeight="1">
      <c r="B5" s="22" t="s">
        <v>33</v>
      </c>
      <c r="C5" s="22" t="s">
        <v>159</v>
      </c>
      <c r="D5" s="22"/>
    </row>
    <row r="6" spans="2:52" ht="15" customHeight="1">
      <c r="B6" s="22" t="s">
        <v>35</v>
      </c>
      <c r="C6" s="214">
        <v>44742</v>
      </c>
      <c r="D6" s="214"/>
    </row>
    <row r="7" spans="2:52" ht="15" customHeight="1">
      <c r="B7" s="22"/>
    </row>
    <row r="8" spans="2:52" ht="15.75" customHeight="1">
      <c r="B8" s="482" t="s">
        <v>36</v>
      </c>
      <c r="C8" s="531" t="s">
        <v>37</v>
      </c>
      <c r="D8" s="556" t="s">
        <v>38</v>
      </c>
      <c r="E8" s="537" t="s">
        <v>39</v>
      </c>
      <c r="F8" s="540" t="s">
        <v>40</v>
      </c>
      <c r="G8" s="543" t="s">
        <v>41</v>
      </c>
      <c r="H8" s="543" t="s">
        <v>42</v>
      </c>
      <c r="I8" s="546" t="s">
        <v>43</v>
      </c>
      <c r="J8" s="482" t="s">
        <v>44</v>
      </c>
      <c r="K8" s="517" t="s">
        <v>45</v>
      </c>
      <c r="L8" s="503"/>
      <c r="M8" s="549"/>
      <c r="N8" s="554" t="s">
        <v>46</v>
      </c>
      <c r="O8" s="503"/>
      <c r="P8" s="503"/>
      <c r="Q8" s="503"/>
      <c r="R8" s="503"/>
      <c r="S8" s="197"/>
      <c r="T8" s="482" t="s">
        <v>47</v>
      </c>
      <c r="U8" s="482" t="s">
        <v>48</v>
      </c>
    </row>
    <row r="9" spans="2:52" ht="15.75" customHeight="1">
      <c r="B9" s="483"/>
      <c r="C9" s="532"/>
      <c r="D9" s="557"/>
      <c r="E9" s="538"/>
      <c r="F9" s="541"/>
      <c r="G9" s="544"/>
      <c r="H9" s="544"/>
      <c r="I9" s="547"/>
      <c r="J9" s="483"/>
      <c r="K9" s="519"/>
      <c r="L9" s="553"/>
      <c r="M9" s="550"/>
      <c r="N9" s="555"/>
      <c r="O9" s="553"/>
      <c r="P9" s="553"/>
      <c r="Q9" s="553"/>
      <c r="R9" s="553"/>
      <c r="S9" s="198"/>
      <c r="T9" s="483"/>
      <c r="U9" s="483"/>
    </row>
    <row r="10" spans="2:52" ht="15" customHeight="1">
      <c r="B10" s="483"/>
      <c r="C10" s="532"/>
      <c r="D10" s="557"/>
      <c r="E10" s="538"/>
      <c r="F10" s="541"/>
      <c r="G10" s="544"/>
      <c r="H10" s="544"/>
      <c r="I10" s="547"/>
      <c r="J10" s="483"/>
      <c r="K10" s="517"/>
      <c r="L10" s="199" t="s">
        <v>146</v>
      </c>
      <c r="M10" s="200" t="s">
        <v>51</v>
      </c>
      <c r="N10" s="549" t="s">
        <v>52</v>
      </c>
      <c r="O10" s="551" t="s">
        <v>53</v>
      </c>
      <c r="P10" s="497" t="s">
        <v>54</v>
      </c>
      <c r="Q10" s="497" t="s">
        <v>55</v>
      </c>
      <c r="R10" s="497" t="s">
        <v>147</v>
      </c>
      <c r="S10" s="497" t="s">
        <v>148</v>
      </c>
      <c r="T10" s="483"/>
      <c r="U10" s="483"/>
    </row>
    <row r="11" spans="2:52" ht="46.5" customHeight="1">
      <c r="B11" s="484"/>
      <c r="C11" s="533"/>
      <c r="D11" s="558"/>
      <c r="E11" s="539"/>
      <c r="F11" s="542"/>
      <c r="G11" s="545"/>
      <c r="H11" s="545"/>
      <c r="I11" s="548"/>
      <c r="J11" s="484"/>
      <c r="K11" s="519"/>
      <c r="L11" s="201"/>
      <c r="M11" s="202" t="s">
        <v>58</v>
      </c>
      <c r="N11" s="550"/>
      <c r="O11" s="552"/>
      <c r="P11" s="499"/>
      <c r="Q11" s="499"/>
      <c r="R11" s="499"/>
      <c r="S11" s="499"/>
      <c r="T11" s="484"/>
      <c r="U11" s="484"/>
    </row>
    <row r="12" spans="2:52" ht="15" customHeight="1">
      <c r="B12" s="174"/>
      <c r="C12" s="175"/>
      <c r="D12" s="175"/>
      <c r="E12" s="177"/>
      <c r="F12" s="177"/>
      <c r="G12" s="177"/>
      <c r="H12" s="177"/>
      <c r="I12" s="177"/>
      <c r="J12" s="177"/>
      <c r="K12" s="203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AF12" s="194"/>
      <c r="AG12" s="194"/>
      <c r="AH12" s="194"/>
      <c r="AI12" s="194"/>
      <c r="AJ12" s="194"/>
      <c r="AK12" s="194"/>
      <c r="AL12" s="194"/>
      <c r="AM12" s="194"/>
      <c r="AN12" s="194"/>
      <c r="AO12" s="210"/>
      <c r="AP12" s="194"/>
      <c r="AQ12" s="194"/>
      <c r="AR12" s="194"/>
      <c r="AS12" s="194"/>
      <c r="AT12" s="194"/>
      <c r="AU12" s="194"/>
      <c r="AV12" s="194"/>
      <c r="AW12" s="210"/>
      <c r="AX12" s="194"/>
      <c r="AY12" s="210"/>
      <c r="AZ12" s="194"/>
    </row>
    <row r="13" spans="2:52">
      <c r="B13" s="178" t="s">
        <v>59</v>
      </c>
      <c r="C13" s="178" t="s">
        <v>60</v>
      </c>
      <c r="D13" s="178"/>
      <c r="E13" s="180">
        <v>15000</v>
      </c>
      <c r="F13" s="180"/>
      <c r="G13" s="178"/>
      <c r="H13" s="178"/>
      <c r="I13" s="180"/>
      <c r="J13" s="180"/>
      <c r="K13" s="204">
        <v>2500</v>
      </c>
      <c r="L13" s="180"/>
      <c r="M13" s="205">
        <v>147.16999999999999</v>
      </c>
      <c r="N13" s="183"/>
      <c r="O13" s="180">
        <v>899.75</v>
      </c>
      <c r="P13" s="180">
        <v>5000</v>
      </c>
      <c r="Q13" s="180"/>
      <c r="R13" s="180">
        <v>500</v>
      </c>
      <c r="S13" s="180"/>
      <c r="T13" s="180">
        <f t="shared" ref="T13:T17" si="0">SUM(L13:R13)</f>
        <v>6546.92</v>
      </c>
      <c r="U13" s="180">
        <f t="shared" ref="U13:U18" si="1">(E13+K13)-T13</f>
        <v>10953.08</v>
      </c>
      <c r="V13" s="212"/>
      <c r="AF13" s="194"/>
      <c r="AG13" s="194"/>
      <c r="AH13" s="194"/>
      <c r="AI13" s="194"/>
      <c r="AJ13" s="194"/>
      <c r="AK13" s="194"/>
      <c r="AL13" s="194"/>
      <c r="AM13" s="194"/>
      <c r="AN13" s="194"/>
      <c r="AO13" s="210"/>
      <c r="AP13" s="194"/>
      <c r="AQ13" s="194"/>
      <c r="AR13" s="194"/>
      <c r="AS13" s="194"/>
      <c r="AT13" s="194"/>
      <c r="AU13" s="194"/>
      <c r="AV13" s="194"/>
      <c r="AW13" s="210"/>
      <c r="AX13" s="194"/>
      <c r="AY13" s="210"/>
      <c r="AZ13" s="194"/>
    </row>
    <row r="14" spans="2:52">
      <c r="B14" s="178" t="s">
        <v>61</v>
      </c>
      <c r="C14" s="178" t="s">
        <v>62</v>
      </c>
      <c r="D14" s="178"/>
      <c r="E14" s="180">
        <v>13250</v>
      </c>
      <c r="F14" s="180"/>
      <c r="G14" s="178"/>
      <c r="H14" s="178"/>
      <c r="I14" s="180"/>
      <c r="J14" s="180"/>
      <c r="K14" s="204">
        <v>4250</v>
      </c>
      <c r="L14" s="206">
        <v>1125</v>
      </c>
      <c r="M14" s="189">
        <v>147.16999999999999</v>
      </c>
      <c r="N14" s="183">
        <f>1133.33/2</f>
        <v>566.66499999999996</v>
      </c>
      <c r="O14" s="180">
        <f>500/2</f>
        <v>250</v>
      </c>
      <c r="P14" s="180">
        <v>187.5</v>
      </c>
      <c r="Q14" s="180"/>
      <c r="R14" s="180">
        <v>1000</v>
      </c>
      <c r="S14" s="180">
        <v>2691.67</v>
      </c>
      <c r="T14" s="180">
        <f t="shared" si="0"/>
        <v>3276.335</v>
      </c>
      <c r="U14" s="180">
        <f t="shared" si="1"/>
        <v>14223.665000000001</v>
      </c>
      <c r="AF14" s="194"/>
      <c r="AG14" s="194"/>
      <c r="AH14" s="194"/>
      <c r="AI14" s="194"/>
      <c r="AJ14" s="194"/>
      <c r="AK14" s="194"/>
      <c r="AL14" s="194"/>
      <c r="AM14" s="194"/>
      <c r="AN14" s="194"/>
      <c r="AO14" s="210"/>
      <c r="AP14" s="194"/>
      <c r="AQ14" s="194"/>
      <c r="AR14" s="194"/>
      <c r="AS14" s="194"/>
      <c r="AT14" s="194"/>
      <c r="AU14" s="194"/>
      <c r="AV14" s="194"/>
      <c r="AW14" s="210"/>
      <c r="AX14" s="194"/>
      <c r="AY14" s="210"/>
      <c r="AZ14" s="194"/>
    </row>
    <row r="15" spans="2:52">
      <c r="B15" s="178" t="s">
        <v>63</v>
      </c>
      <c r="C15" s="178" t="s">
        <v>64</v>
      </c>
      <c r="D15" s="178"/>
      <c r="E15" s="180">
        <v>11250</v>
      </c>
      <c r="F15" s="180"/>
      <c r="G15" s="178"/>
      <c r="H15" s="178"/>
      <c r="I15" s="180"/>
      <c r="J15" s="180"/>
      <c r="K15" s="204">
        <v>4250</v>
      </c>
      <c r="L15" s="206">
        <v>1012.5</v>
      </c>
      <c r="M15" s="189">
        <v>147.16999999999999</v>
      </c>
      <c r="N15" s="189">
        <f>533.4/2</f>
        <v>266.7</v>
      </c>
      <c r="O15" s="180">
        <f>500/2</f>
        <v>250</v>
      </c>
      <c r="P15" s="180">
        <v>187.5</v>
      </c>
      <c r="Q15" s="180"/>
      <c r="R15" s="180">
        <v>500</v>
      </c>
      <c r="S15" s="180">
        <v>2250</v>
      </c>
      <c r="T15" s="180">
        <f t="shared" si="0"/>
        <v>2363.87</v>
      </c>
      <c r="U15" s="180">
        <f t="shared" si="1"/>
        <v>13136.130000000001</v>
      </c>
      <c r="AF15" s="194"/>
      <c r="AG15" s="194"/>
      <c r="AH15" s="194"/>
      <c r="AI15" s="194"/>
      <c r="AJ15" s="194"/>
      <c r="AK15" s="194"/>
      <c r="AL15" s="194"/>
      <c r="AM15" s="194"/>
      <c r="AN15" s="194"/>
      <c r="AO15" s="210"/>
      <c r="AP15" s="194"/>
      <c r="AQ15" s="194"/>
      <c r="AR15" s="194"/>
      <c r="AS15" s="194"/>
      <c r="AT15" s="194"/>
      <c r="AU15" s="194"/>
      <c r="AV15" s="194"/>
      <c r="AW15" s="210"/>
      <c r="AX15" s="194"/>
      <c r="AY15" s="210"/>
      <c r="AZ15" s="194"/>
    </row>
    <row r="16" spans="2:52">
      <c r="B16" s="178" t="s">
        <v>65</v>
      </c>
      <c r="C16" s="178" t="s">
        <v>66</v>
      </c>
      <c r="D16" s="178"/>
      <c r="E16" s="180">
        <v>12750</v>
      </c>
      <c r="F16" s="180"/>
      <c r="G16" s="178"/>
      <c r="H16" s="178"/>
      <c r="I16" s="180"/>
      <c r="J16" s="180"/>
      <c r="K16" s="204">
        <v>4250</v>
      </c>
      <c r="L16" s="206">
        <v>1125</v>
      </c>
      <c r="M16" s="205">
        <v>147.16999999999999</v>
      </c>
      <c r="N16" s="183">
        <f>1133.33/2</f>
        <v>566.66499999999996</v>
      </c>
      <c r="O16" s="180">
        <v>250</v>
      </c>
      <c r="P16" s="180"/>
      <c r="Q16" s="180"/>
      <c r="R16" s="180">
        <v>1700</v>
      </c>
      <c r="S16" s="180"/>
      <c r="T16" s="180">
        <f t="shared" si="0"/>
        <v>3788.835</v>
      </c>
      <c r="U16" s="180">
        <f t="shared" si="1"/>
        <v>13211.165000000001</v>
      </c>
      <c r="V16" s="212"/>
      <c r="W16" s="194"/>
      <c r="X16" s="194"/>
      <c r="AO16" s="170"/>
      <c r="AW16" s="170"/>
      <c r="AY16" s="170"/>
    </row>
    <row r="17" spans="2:51">
      <c r="B17" s="178" t="s">
        <v>67</v>
      </c>
      <c r="C17" s="178" t="s">
        <v>68</v>
      </c>
      <c r="D17" s="178"/>
      <c r="E17" s="180">
        <v>11000</v>
      </c>
      <c r="F17" s="180"/>
      <c r="G17" s="178"/>
      <c r="H17" s="178"/>
      <c r="I17" s="180"/>
      <c r="J17" s="180"/>
      <c r="K17" s="204">
        <v>3500</v>
      </c>
      <c r="L17" s="180"/>
      <c r="M17" s="205">
        <v>147.16999999999999</v>
      </c>
      <c r="N17" s="183"/>
      <c r="O17" s="180">
        <v>837.25</v>
      </c>
      <c r="P17" s="180">
        <v>5000</v>
      </c>
      <c r="Q17" s="180"/>
      <c r="R17" s="180">
        <v>500</v>
      </c>
      <c r="S17" s="180"/>
      <c r="T17" s="180">
        <f t="shared" si="0"/>
        <v>6484.42</v>
      </c>
      <c r="U17" s="180">
        <f t="shared" si="1"/>
        <v>8015.58</v>
      </c>
      <c r="V17" s="194"/>
      <c r="W17" s="194"/>
      <c r="X17" s="194"/>
      <c r="AO17" s="170"/>
      <c r="AW17" s="170"/>
      <c r="AY17" s="170"/>
    </row>
    <row r="18" spans="2:51">
      <c r="B18" s="182" t="s">
        <v>69</v>
      </c>
      <c r="C18" s="178"/>
      <c r="D18" s="178"/>
      <c r="E18" s="180"/>
      <c r="F18" s="180"/>
      <c r="G18" s="178"/>
      <c r="H18" s="178"/>
      <c r="I18" s="180"/>
      <c r="J18" s="180"/>
      <c r="K18" s="204"/>
      <c r="L18" s="180"/>
      <c r="M18" s="178"/>
      <c r="N18" s="178"/>
      <c r="O18" s="180"/>
      <c r="P18" s="180"/>
      <c r="Q18" s="180"/>
      <c r="R18" s="180"/>
      <c r="S18" s="180"/>
      <c r="T18" s="180"/>
      <c r="U18" s="180">
        <f t="shared" si="1"/>
        <v>0</v>
      </c>
      <c r="V18" s="194"/>
      <c r="W18" s="194"/>
      <c r="X18" s="194"/>
      <c r="AO18" s="170"/>
      <c r="AW18" s="170"/>
      <c r="AY18" s="170"/>
    </row>
    <row r="19" spans="2:51">
      <c r="B19" s="178" t="s">
        <v>70</v>
      </c>
      <c r="C19" s="178" t="s">
        <v>71</v>
      </c>
      <c r="D19" s="215" t="e">
        <f>#REF!</f>
        <v>#REF!</v>
      </c>
      <c r="E19" s="180">
        <v>9000</v>
      </c>
      <c r="F19" s="180" t="e">
        <f>#REF!</f>
        <v>#REF!</v>
      </c>
      <c r="G19" s="183" t="e">
        <f>E19-F19</f>
        <v>#REF!</v>
      </c>
      <c r="H19" s="183"/>
      <c r="I19" s="180"/>
      <c r="J19" s="180" t="e">
        <f>G19+H19+I19</f>
        <v>#REF!</v>
      </c>
      <c r="K19" s="204"/>
      <c r="L19" s="206">
        <v>810</v>
      </c>
      <c r="M19" s="180">
        <v>109.23</v>
      </c>
      <c r="N19" s="180"/>
      <c r="O19" s="180"/>
      <c r="P19" s="180"/>
      <c r="Q19" s="180"/>
      <c r="R19" s="180"/>
      <c r="S19" s="180">
        <v>2500</v>
      </c>
      <c r="T19" s="180">
        <f t="shared" ref="T19:T28" si="2">SUM(L19:R19)</f>
        <v>919.23</v>
      </c>
      <c r="U19" s="180" t="e">
        <f>(J19+K19)-T19</f>
        <v>#REF!</v>
      </c>
      <c r="V19" s="211"/>
      <c r="AO19" s="170"/>
      <c r="AW19" s="170"/>
      <c r="AY19" s="170"/>
    </row>
    <row r="20" spans="2:51">
      <c r="B20" s="178" t="s">
        <v>72</v>
      </c>
      <c r="C20" s="178" t="s">
        <v>73</v>
      </c>
      <c r="D20" s="215">
        <f>COMOSO!J33</f>
        <v>74.683333333333323</v>
      </c>
      <c r="E20" s="180">
        <f t="shared" ref="E20:E23" si="3">15042.6/2</f>
        <v>7521.3</v>
      </c>
      <c r="F20" s="180">
        <f>COMOSO!N35</f>
        <v>327.69230769230768</v>
      </c>
      <c r="G20" s="183">
        <f>E20-F20</f>
        <v>7193.6076923076926</v>
      </c>
      <c r="H20" s="178"/>
      <c r="I20" s="180">
        <f>COMOSO!N38</f>
        <v>1474.6153846153845</v>
      </c>
      <c r="J20" s="180">
        <f>G20+H20+I20</f>
        <v>8668.2230769230773</v>
      </c>
      <c r="K20" s="204"/>
      <c r="L20" s="206">
        <v>675</v>
      </c>
      <c r="M20" s="180">
        <v>71.290000000000006</v>
      </c>
      <c r="N20" s="180"/>
      <c r="O20" s="180"/>
      <c r="P20" s="180"/>
      <c r="Q20" s="180"/>
      <c r="R20" s="180"/>
      <c r="S20" s="180">
        <v>1510</v>
      </c>
      <c r="T20" s="180">
        <f t="shared" si="2"/>
        <v>746.29</v>
      </c>
      <c r="U20" s="180">
        <f>(J20+K20)-T20</f>
        <v>7921.9330769230774</v>
      </c>
      <c r="V20" s="211"/>
      <c r="AO20" s="170"/>
      <c r="AW20" s="170"/>
      <c r="AY20" s="170"/>
    </row>
    <row r="21" spans="2:51">
      <c r="B21" s="178" t="s">
        <v>74</v>
      </c>
      <c r="C21" s="178" t="s">
        <v>75</v>
      </c>
      <c r="D21" s="215">
        <f>DAGOT!J36</f>
        <v>127.49999999999999</v>
      </c>
      <c r="E21" s="180">
        <f t="shared" si="3"/>
        <v>7521.3</v>
      </c>
      <c r="F21" s="180">
        <f>DAGOT!N38</f>
        <v>596.79456410256421</v>
      </c>
      <c r="G21" s="183">
        <f>E21-F21</f>
        <v>6924.5054358974357</v>
      </c>
      <c r="H21" s="178"/>
      <c r="I21" s="180" t="e">
        <f>DAGOT!#REF!</f>
        <v>#REF!</v>
      </c>
      <c r="J21" s="180" t="e">
        <f>G21+H21+I21</f>
        <v>#REF!</v>
      </c>
      <c r="K21" s="204"/>
      <c r="L21" s="206">
        <v>675</v>
      </c>
      <c r="M21" s="180">
        <v>71.290000000000006</v>
      </c>
      <c r="N21" s="180"/>
      <c r="O21" s="180"/>
      <c r="P21" s="180"/>
      <c r="Q21" s="180"/>
      <c r="R21" s="180"/>
      <c r="S21" s="180">
        <v>1350</v>
      </c>
      <c r="T21" s="180">
        <f t="shared" si="2"/>
        <v>746.29</v>
      </c>
      <c r="U21" s="180" t="e">
        <f>(J21+K21)-T21</f>
        <v>#REF!</v>
      </c>
      <c r="V21" s="211"/>
      <c r="AO21" s="170"/>
      <c r="AW21" s="170"/>
      <c r="AY21" s="170"/>
    </row>
    <row r="22" spans="2:51">
      <c r="B22" s="178" t="s">
        <v>76</v>
      </c>
      <c r="C22" s="178" t="s">
        <v>75</v>
      </c>
      <c r="D22" s="215" t="e">
        <f>#REF!</f>
        <v>#REF!</v>
      </c>
      <c r="E22" s="180">
        <f t="shared" si="3"/>
        <v>7521.3</v>
      </c>
      <c r="F22" s="180" t="e">
        <f>#REF!</f>
        <v>#REF!</v>
      </c>
      <c r="G22" s="183" t="e">
        <f>E22-F22</f>
        <v>#REF!</v>
      </c>
      <c r="H22" s="178"/>
      <c r="I22" s="180"/>
      <c r="J22" s="180" t="e">
        <f>G22+H22+I22</f>
        <v>#REF!</v>
      </c>
      <c r="K22" s="204"/>
      <c r="L22" s="206">
        <v>675</v>
      </c>
      <c r="M22" s="180">
        <v>71.290000000000006</v>
      </c>
      <c r="N22" s="180"/>
      <c r="O22" s="180"/>
      <c r="P22" s="180"/>
      <c r="Q22" s="180"/>
      <c r="R22" s="180"/>
      <c r="S22" s="180"/>
      <c r="T22" s="180">
        <f t="shared" si="2"/>
        <v>746.29</v>
      </c>
      <c r="U22" s="180" t="e">
        <f>(J22+K22)-T22</f>
        <v>#REF!</v>
      </c>
      <c r="V22" s="211"/>
      <c r="AO22" s="170"/>
      <c r="AW22" s="170"/>
      <c r="AY22" s="170"/>
    </row>
    <row r="23" spans="2:51">
      <c r="B23" s="178" t="s">
        <v>77</v>
      </c>
      <c r="C23" s="178" t="s">
        <v>75</v>
      </c>
      <c r="D23" s="215" t="e">
        <f>#REF!</f>
        <v>#REF!</v>
      </c>
      <c r="E23" s="180">
        <f t="shared" si="3"/>
        <v>7521.3</v>
      </c>
      <c r="F23" s="180" t="e">
        <f>#REF!</f>
        <v>#REF!</v>
      </c>
      <c r="G23" s="183" t="e">
        <f>E23-F23</f>
        <v>#REF!</v>
      </c>
      <c r="H23" s="178"/>
      <c r="I23" s="180" t="e">
        <f>#REF!</f>
        <v>#REF!</v>
      </c>
      <c r="J23" s="180" t="e">
        <f>G23+H23+I23</f>
        <v>#REF!</v>
      </c>
      <c r="K23" s="204"/>
      <c r="L23" s="206">
        <v>675</v>
      </c>
      <c r="M23" s="180">
        <v>71.290000000000006</v>
      </c>
      <c r="N23" s="180"/>
      <c r="O23" s="180"/>
      <c r="P23" s="180"/>
      <c r="Q23" s="180"/>
      <c r="R23" s="180"/>
      <c r="S23" s="180"/>
      <c r="T23" s="180">
        <f t="shared" si="2"/>
        <v>746.29</v>
      </c>
      <c r="U23" s="180" t="e">
        <f>(J23+K23)-T23</f>
        <v>#REF!</v>
      </c>
      <c r="V23" s="211"/>
      <c r="AO23" s="170"/>
      <c r="AW23" s="170"/>
      <c r="AY23" s="170"/>
    </row>
    <row r="24" spans="2:51">
      <c r="B24" s="178" t="s">
        <v>78</v>
      </c>
      <c r="C24" s="178" t="s">
        <v>79</v>
      </c>
      <c r="D24" s="215" t="e">
        <f>#REF!</f>
        <v>#REF!</v>
      </c>
      <c r="E24" s="180">
        <v>10250</v>
      </c>
      <c r="F24" s="180"/>
      <c r="G24" s="183">
        <f>E24</f>
        <v>10250</v>
      </c>
      <c r="H24" s="178"/>
      <c r="I24" s="180"/>
      <c r="J24" s="180">
        <f t="shared" ref="J24:J29" si="4">G24+H24+I24</f>
        <v>10250</v>
      </c>
      <c r="K24" s="204"/>
      <c r="L24" s="206">
        <v>900</v>
      </c>
      <c r="M24" s="180">
        <v>109.23</v>
      </c>
      <c r="N24" s="180"/>
      <c r="O24" s="180"/>
      <c r="P24" s="180"/>
      <c r="Q24" s="180"/>
      <c r="R24" s="180">
        <v>830</v>
      </c>
      <c r="S24" s="180">
        <v>1311.94</v>
      </c>
      <c r="T24" s="180">
        <f t="shared" si="2"/>
        <v>1839.23</v>
      </c>
      <c r="U24" s="180">
        <f t="shared" ref="U24:U29" si="5">(J24+K24)-T24</f>
        <v>8410.77</v>
      </c>
      <c r="V24" s="211"/>
      <c r="AO24" s="170"/>
      <c r="AW24" s="170"/>
      <c r="AY24" s="170"/>
    </row>
    <row r="25" spans="2:51">
      <c r="B25" s="178" t="s">
        <v>80</v>
      </c>
      <c r="C25" s="178" t="s">
        <v>81</v>
      </c>
      <c r="D25" s="178">
        <f>BATUL!G13</f>
        <v>104</v>
      </c>
      <c r="E25" s="180">
        <v>6000</v>
      </c>
      <c r="F25" s="170">
        <f>BATUL!M33</f>
        <v>0</v>
      </c>
      <c r="G25" s="186">
        <f t="shared" ref="G25:G36" si="6">E25-F25</f>
        <v>6000</v>
      </c>
      <c r="H25" s="183">
        <f>BATUL!M35</f>
        <v>0</v>
      </c>
      <c r="I25" s="180">
        <f>BATUL!M36</f>
        <v>0</v>
      </c>
      <c r="J25" s="180">
        <f t="shared" si="4"/>
        <v>6000</v>
      </c>
      <c r="K25" s="204"/>
      <c r="L25" s="206">
        <v>540</v>
      </c>
      <c r="M25" s="180">
        <v>142.58000000000001</v>
      </c>
      <c r="N25" s="180"/>
      <c r="O25" s="180"/>
      <c r="P25" s="180"/>
      <c r="Q25" s="180"/>
      <c r="R25" s="180"/>
      <c r="S25" s="180">
        <v>833.33</v>
      </c>
      <c r="T25" s="180">
        <f t="shared" si="2"/>
        <v>682.58</v>
      </c>
      <c r="U25" s="180">
        <f t="shared" si="5"/>
        <v>5317.42</v>
      </c>
      <c r="V25" s="211"/>
      <c r="AO25" s="170"/>
      <c r="AW25" s="170"/>
      <c r="AY25" s="170"/>
    </row>
    <row r="26" spans="2:51">
      <c r="B26" s="178" t="s">
        <v>82</v>
      </c>
      <c r="C26" s="178" t="s">
        <v>83</v>
      </c>
      <c r="D26" s="215" t="e">
        <f>#REF!</f>
        <v>#REF!</v>
      </c>
      <c r="E26" s="180">
        <v>6000</v>
      </c>
      <c r="F26" s="180" t="e">
        <f>#REF!</f>
        <v>#REF!</v>
      </c>
      <c r="G26" s="180" t="e">
        <f t="shared" si="6"/>
        <v>#REF!</v>
      </c>
      <c r="H26" s="180"/>
      <c r="I26" s="180" t="e">
        <f>#REF!</f>
        <v>#REF!</v>
      </c>
      <c r="J26" s="180" t="e">
        <f t="shared" si="4"/>
        <v>#REF!</v>
      </c>
      <c r="K26" s="204"/>
      <c r="L26" s="206">
        <v>540</v>
      </c>
      <c r="M26" s="180">
        <v>142.58000000000001</v>
      </c>
      <c r="N26" s="180"/>
      <c r="O26" s="180"/>
      <c r="P26" s="180"/>
      <c r="Q26" s="180"/>
      <c r="R26" s="180"/>
      <c r="S26" s="180"/>
      <c r="T26" s="180">
        <f t="shared" si="2"/>
        <v>682.58</v>
      </c>
      <c r="U26" s="180" t="e">
        <f t="shared" si="5"/>
        <v>#REF!</v>
      </c>
      <c r="V26" s="211"/>
      <c r="AO26" s="170"/>
      <c r="AW26" s="170"/>
      <c r="AY26" s="170"/>
    </row>
    <row r="27" spans="2:51">
      <c r="B27" s="178" t="s">
        <v>84</v>
      </c>
      <c r="C27" s="178" t="s">
        <v>75</v>
      </c>
      <c r="D27" s="215">
        <f>ADELANTAR!J33</f>
        <v>106.38333333333333</v>
      </c>
      <c r="E27" s="180">
        <v>6000</v>
      </c>
      <c r="F27" s="180">
        <f>ADELANTAR!N35</f>
        <v>312.28333333333336</v>
      </c>
      <c r="G27" s="183">
        <f t="shared" si="6"/>
        <v>5687.7166666666662</v>
      </c>
      <c r="H27" s="183">
        <f>ADELANTAR!N37</f>
        <v>153.75</v>
      </c>
      <c r="I27" s="180">
        <f>ADELANTAR!N38</f>
        <v>0</v>
      </c>
      <c r="J27" s="180">
        <f t="shared" si="4"/>
        <v>5841.4666666666662</v>
      </c>
      <c r="K27" s="204"/>
      <c r="L27" s="206">
        <v>540</v>
      </c>
      <c r="M27" s="180"/>
      <c r="N27" s="180"/>
      <c r="O27" s="180"/>
      <c r="P27" s="180"/>
      <c r="Q27" s="180"/>
      <c r="R27" s="180"/>
      <c r="S27" s="180">
        <v>1670</v>
      </c>
      <c r="T27" s="180">
        <f t="shared" si="2"/>
        <v>540</v>
      </c>
      <c r="U27" s="180">
        <f t="shared" si="5"/>
        <v>5301.4666666666662</v>
      </c>
      <c r="V27" s="211"/>
      <c r="AO27" s="170"/>
      <c r="AW27" s="170"/>
      <c r="AY27" s="170"/>
    </row>
    <row r="28" spans="2:51">
      <c r="B28" s="178" t="s">
        <v>85</v>
      </c>
      <c r="C28" s="178" t="s">
        <v>86</v>
      </c>
      <c r="D28" s="215" t="e">
        <f>#REF!</f>
        <v>#REF!</v>
      </c>
      <c r="E28" s="180">
        <v>6000</v>
      </c>
      <c r="F28" s="180" t="e">
        <f>#REF!</f>
        <v>#REF!</v>
      </c>
      <c r="G28" s="180" t="e">
        <f t="shared" si="6"/>
        <v>#REF!</v>
      </c>
      <c r="H28" s="178"/>
      <c r="I28" s="180" t="e">
        <f>#REF!</f>
        <v>#REF!</v>
      </c>
      <c r="J28" s="180" t="e">
        <f t="shared" si="4"/>
        <v>#REF!</v>
      </c>
      <c r="K28" s="204"/>
      <c r="L28" s="206">
        <v>540</v>
      </c>
      <c r="M28" s="180"/>
      <c r="N28" s="180"/>
      <c r="O28" s="180"/>
      <c r="P28" s="180"/>
      <c r="Q28" s="180"/>
      <c r="R28" s="180"/>
      <c r="S28" s="180"/>
      <c r="T28" s="180">
        <f t="shared" si="2"/>
        <v>540</v>
      </c>
      <c r="U28" s="180" t="e">
        <f t="shared" si="5"/>
        <v>#REF!</v>
      </c>
      <c r="V28" s="211"/>
      <c r="AO28" s="170"/>
      <c r="AW28" s="170"/>
      <c r="AY28" s="170"/>
    </row>
    <row r="29" spans="2:51">
      <c r="B29" s="178" t="s">
        <v>160</v>
      </c>
      <c r="C29" s="178" t="s">
        <v>88</v>
      </c>
      <c r="D29" s="215" t="e">
        <f>#REF!</f>
        <v>#REF!</v>
      </c>
      <c r="E29" s="180" t="e">
        <f>#REF!</f>
        <v>#REF!</v>
      </c>
      <c r="F29" s="180" t="e">
        <f>#REF!</f>
        <v>#REF!</v>
      </c>
      <c r="G29" s="180" t="e">
        <f t="shared" si="6"/>
        <v>#REF!</v>
      </c>
      <c r="H29" s="183" t="e">
        <f>#REF!</f>
        <v>#REF!</v>
      </c>
      <c r="I29" s="180" t="e">
        <f>#REF!</f>
        <v>#REF!</v>
      </c>
      <c r="J29" s="180" t="e">
        <f t="shared" si="4"/>
        <v>#REF!</v>
      </c>
      <c r="K29" s="204"/>
      <c r="L29" s="206"/>
      <c r="M29" s="180"/>
      <c r="N29" s="180"/>
      <c r="O29" s="180"/>
      <c r="P29" s="180"/>
      <c r="Q29" s="180"/>
      <c r="R29" s="180"/>
      <c r="S29" s="180"/>
      <c r="T29" s="180"/>
      <c r="U29" s="180" t="e">
        <f t="shared" si="5"/>
        <v>#REF!</v>
      </c>
      <c r="V29" s="211"/>
      <c r="AO29" s="170"/>
      <c r="AW29" s="170"/>
      <c r="AY29" s="170"/>
    </row>
    <row r="30" spans="2:51">
      <c r="B30" s="182" t="s">
        <v>89</v>
      </c>
      <c r="C30" s="178"/>
      <c r="D30" s="178"/>
      <c r="E30" s="180"/>
      <c r="F30" s="180"/>
      <c r="G30" s="183">
        <f t="shared" si="6"/>
        <v>0</v>
      </c>
      <c r="H30" s="178"/>
      <c r="I30" s="180"/>
      <c r="J30" s="180">
        <f t="shared" ref="J30:J36" si="7">G30+H30+I30</f>
        <v>0</v>
      </c>
      <c r="K30" s="204"/>
      <c r="L30" s="206"/>
      <c r="M30" s="178"/>
      <c r="N30" s="178"/>
      <c r="O30" s="180"/>
      <c r="P30" s="180"/>
      <c r="Q30" s="180"/>
      <c r="R30" s="180"/>
      <c r="S30" s="180"/>
      <c r="T30" s="180"/>
      <c r="U30" s="180">
        <f t="shared" ref="U30:U41" si="8">(J30+K30)-T30</f>
        <v>0</v>
      </c>
      <c r="V30" s="211"/>
    </row>
    <row r="31" spans="2:51">
      <c r="B31" s="178" t="s">
        <v>90</v>
      </c>
      <c r="C31" s="178" t="s">
        <v>91</v>
      </c>
      <c r="D31" s="215" t="e">
        <f>#REF!</f>
        <v>#REF!</v>
      </c>
      <c r="E31" s="180">
        <v>8000</v>
      </c>
      <c r="F31" s="180" t="e">
        <f>#REF!</f>
        <v>#REF!</v>
      </c>
      <c r="G31" s="183" t="e">
        <f t="shared" si="6"/>
        <v>#REF!</v>
      </c>
      <c r="H31" s="178"/>
      <c r="I31" s="180" t="e">
        <f>#REF!</f>
        <v>#REF!</v>
      </c>
      <c r="J31" s="180" t="e">
        <f t="shared" si="7"/>
        <v>#REF!</v>
      </c>
      <c r="K31" s="204"/>
      <c r="L31" s="206">
        <v>720</v>
      </c>
      <c r="M31" s="180">
        <v>147.16999999999999</v>
      </c>
      <c r="N31" s="180"/>
      <c r="O31" s="180"/>
      <c r="P31" s="180"/>
      <c r="Q31" s="180">
        <v>1015.19</v>
      </c>
      <c r="R31" s="180"/>
      <c r="S31" s="180">
        <v>1600</v>
      </c>
      <c r="T31" s="180">
        <f t="shared" ref="T31:T36" si="9">SUM(L31:R31)</f>
        <v>1882.3600000000001</v>
      </c>
      <c r="U31" s="180" t="e">
        <f t="shared" si="8"/>
        <v>#REF!</v>
      </c>
      <c r="V31" s="211"/>
    </row>
    <row r="32" spans="2:51">
      <c r="B32" s="178" t="s">
        <v>92</v>
      </c>
      <c r="C32" s="178" t="s">
        <v>93</v>
      </c>
      <c r="D32" s="215" t="e">
        <f>#REF!</f>
        <v>#REF!</v>
      </c>
      <c r="E32" s="180">
        <v>9250</v>
      </c>
      <c r="F32" s="180"/>
      <c r="G32" s="183">
        <f t="shared" si="6"/>
        <v>9250</v>
      </c>
      <c r="H32" s="178"/>
      <c r="I32" s="180"/>
      <c r="J32" s="180">
        <f t="shared" si="7"/>
        <v>9250</v>
      </c>
      <c r="K32" s="204"/>
      <c r="L32" s="206">
        <v>832.5</v>
      </c>
      <c r="M32" s="180">
        <v>109.23</v>
      </c>
      <c r="N32" s="180"/>
      <c r="O32" s="180"/>
      <c r="P32" s="180"/>
      <c r="Q32" s="180"/>
      <c r="R32" s="180">
        <v>500</v>
      </c>
      <c r="S32" s="180">
        <v>1500</v>
      </c>
      <c r="T32" s="180">
        <f t="shared" si="9"/>
        <v>1441.73</v>
      </c>
      <c r="U32" s="180">
        <f t="shared" si="8"/>
        <v>7808.27</v>
      </c>
      <c r="V32" s="211"/>
    </row>
    <row r="33" spans="2:22">
      <c r="B33" s="178" t="s">
        <v>94</v>
      </c>
      <c r="C33" s="178" t="s">
        <v>95</v>
      </c>
      <c r="D33" s="216">
        <v>104</v>
      </c>
      <c r="E33" s="183">
        <v>7500</v>
      </c>
      <c r="F33" s="180"/>
      <c r="G33" s="183">
        <f t="shared" si="6"/>
        <v>7500</v>
      </c>
      <c r="H33" s="178"/>
      <c r="I33" s="183"/>
      <c r="J33" s="180">
        <f t="shared" si="7"/>
        <v>7500</v>
      </c>
      <c r="K33" s="207">
        <v>2000</v>
      </c>
      <c r="L33" s="180">
        <v>675</v>
      </c>
      <c r="M33" s="180">
        <v>109.23</v>
      </c>
      <c r="N33" s="178"/>
      <c r="O33" s="180"/>
      <c r="P33" s="180"/>
      <c r="Q33" s="180"/>
      <c r="R33" s="180"/>
      <c r="S33" s="180">
        <v>3125</v>
      </c>
      <c r="T33" s="180">
        <f t="shared" si="9"/>
        <v>784.23</v>
      </c>
      <c r="U33" s="180">
        <f t="shared" si="8"/>
        <v>8715.77</v>
      </c>
      <c r="V33" s="211"/>
    </row>
    <row r="34" spans="2:22">
      <c r="B34" s="178" t="s">
        <v>96</v>
      </c>
      <c r="C34" s="178" t="s">
        <v>97</v>
      </c>
      <c r="D34" s="216">
        <v>104</v>
      </c>
      <c r="E34" s="183">
        <v>7500</v>
      </c>
      <c r="F34" s="180"/>
      <c r="G34" s="183">
        <f t="shared" si="6"/>
        <v>7500</v>
      </c>
      <c r="H34" s="178"/>
      <c r="I34" s="183"/>
      <c r="J34" s="180">
        <f t="shared" si="7"/>
        <v>7500</v>
      </c>
      <c r="K34" s="207">
        <v>1000</v>
      </c>
      <c r="L34" s="180">
        <v>675</v>
      </c>
      <c r="M34" s="180">
        <v>142.58000000000001</v>
      </c>
      <c r="N34" s="178"/>
      <c r="O34" s="180"/>
      <c r="P34" s="180"/>
      <c r="Q34" s="180"/>
      <c r="R34" s="180"/>
      <c r="S34" s="180">
        <v>1666.63</v>
      </c>
      <c r="T34" s="180">
        <f t="shared" si="9"/>
        <v>817.58</v>
      </c>
      <c r="U34" s="180">
        <f t="shared" si="8"/>
        <v>7682.42</v>
      </c>
    </row>
    <row r="35" spans="2:22">
      <c r="B35" s="178" t="s">
        <v>98</v>
      </c>
      <c r="C35" s="178" t="s">
        <v>99</v>
      </c>
      <c r="D35" s="215" t="e">
        <f>#REF!</f>
        <v>#REF!</v>
      </c>
      <c r="E35" s="183">
        <v>7500</v>
      </c>
      <c r="F35" s="180"/>
      <c r="G35" s="183">
        <f t="shared" si="6"/>
        <v>7500</v>
      </c>
      <c r="H35" s="178"/>
      <c r="I35" s="183"/>
      <c r="J35" s="180">
        <f t="shared" si="7"/>
        <v>7500</v>
      </c>
      <c r="K35" s="207"/>
      <c r="L35" s="180">
        <v>675</v>
      </c>
      <c r="M35" s="180">
        <v>71.290000000000006</v>
      </c>
      <c r="N35" s="178"/>
      <c r="O35" s="180"/>
      <c r="P35" s="180"/>
      <c r="Q35" s="180"/>
      <c r="R35" s="180">
        <v>1000</v>
      </c>
      <c r="S35" s="180">
        <v>2500</v>
      </c>
      <c r="T35" s="180">
        <f t="shared" si="9"/>
        <v>1746.29</v>
      </c>
      <c r="U35" s="180">
        <f t="shared" si="8"/>
        <v>5753.71</v>
      </c>
    </row>
    <row r="36" spans="2:22">
      <c r="B36" s="178" t="s">
        <v>100</v>
      </c>
      <c r="C36" s="178" t="s">
        <v>101</v>
      </c>
      <c r="D36" s="215" t="e">
        <f>#REF!</f>
        <v>#REF!</v>
      </c>
      <c r="E36" s="180">
        <v>5000</v>
      </c>
      <c r="F36" s="180" t="e">
        <f>#REF!</f>
        <v>#REF!</v>
      </c>
      <c r="G36" s="183" t="e">
        <f t="shared" si="6"/>
        <v>#REF!</v>
      </c>
      <c r="H36" s="178"/>
      <c r="I36" s="180" t="e">
        <f>#REF!</f>
        <v>#REF!</v>
      </c>
      <c r="J36" s="180" t="e">
        <f t="shared" si="7"/>
        <v>#REF!</v>
      </c>
      <c r="K36" s="207"/>
      <c r="L36" s="180">
        <v>450</v>
      </c>
      <c r="M36" s="178"/>
      <c r="N36" s="178"/>
      <c r="O36" s="180"/>
      <c r="P36" s="180"/>
      <c r="Q36" s="180"/>
      <c r="R36" s="180"/>
      <c r="S36" s="180"/>
      <c r="T36" s="180">
        <f t="shared" si="9"/>
        <v>450</v>
      </c>
      <c r="U36" s="180" t="e">
        <f t="shared" si="8"/>
        <v>#REF!</v>
      </c>
    </row>
    <row r="37" spans="2:22">
      <c r="B37" s="178" t="s">
        <v>152</v>
      </c>
      <c r="C37" s="178" t="s">
        <v>161</v>
      </c>
      <c r="D37" s="215"/>
      <c r="E37" s="180">
        <v>5000</v>
      </c>
      <c r="F37" s="180"/>
      <c r="G37" s="183"/>
      <c r="H37" s="178"/>
      <c r="I37" s="180"/>
      <c r="J37" s="180">
        <v>5000</v>
      </c>
      <c r="K37" s="207"/>
      <c r="L37" s="180"/>
      <c r="M37" s="178"/>
      <c r="N37" s="178"/>
      <c r="O37" s="180"/>
      <c r="P37" s="180"/>
      <c r="Q37" s="180"/>
      <c r="R37" s="180"/>
      <c r="S37" s="180"/>
      <c r="T37" s="180"/>
      <c r="U37" s="180">
        <f t="shared" si="8"/>
        <v>5000</v>
      </c>
    </row>
    <row r="38" spans="2:22">
      <c r="B38" s="178" t="s">
        <v>162</v>
      </c>
      <c r="C38" s="178" t="s">
        <v>151</v>
      </c>
      <c r="D38" s="215"/>
      <c r="E38" s="180">
        <v>3000</v>
      </c>
      <c r="F38" s="180"/>
      <c r="G38" s="183"/>
      <c r="H38" s="178"/>
      <c r="I38" s="180"/>
      <c r="J38" s="180">
        <v>3000</v>
      </c>
      <c r="K38" s="207"/>
      <c r="L38" s="180"/>
      <c r="M38" s="178"/>
      <c r="N38" s="178"/>
      <c r="O38" s="180"/>
      <c r="P38" s="180"/>
      <c r="Q38" s="180"/>
      <c r="R38" s="180"/>
      <c r="S38" s="180"/>
      <c r="T38" s="180"/>
      <c r="U38" s="180">
        <f t="shared" si="8"/>
        <v>3000</v>
      </c>
    </row>
    <row r="39" spans="2:22">
      <c r="B39" s="178" t="s">
        <v>163</v>
      </c>
      <c r="C39" s="178" t="s">
        <v>164</v>
      </c>
      <c r="D39" s="215"/>
      <c r="E39" s="180">
        <v>3000</v>
      </c>
      <c r="F39" s="180"/>
      <c r="G39" s="183"/>
      <c r="H39" s="178"/>
      <c r="I39" s="180"/>
      <c r="J39" s="180">
        <v>3000</v>
      </c>
      <c r="K39" s="207"/>
      <c r="L39" s="180"/>
      <c r="M39" s="178"/>
      <c r="N39" s="178"/>
      <c r="O39" s="180"/>
      <c r="P39" s="180"/>
      <c r="Q39" s="180"/>
      <c r="R39" s="180">
        <v>1000</v>
      </c>
      <c r="S39" s="180">
        <v>1500</v>
      </c>
      <c r="T39" s="180"/>
      <c r="U39" s="180">
        <f t="shared" si="8"/>
        <v>3000</v>
      </c>
    </row>
    <row r="40" spans="2:22" ht="12" customHeight="1">
      <c r="B40" s="182" t="s">
        <v>102</v>
      </c>
      <c r="C40" s="178"/>
      <c r="D40" s="178"/>
      <c r="E40" s="183"/>
      <c r="F40" s="180"/>
      <c r="G40" s="183">
        <f t="shared" ref="G40:G46" si="10">E40-F40</f>
        <v>0</v>
      </c>
      <c r="H40" s="178"/>
      <c r="I40" s="183"/>
      <c r="J40" s="180">
        <f t="shared" ref="J40:J46" si="11">G40+H40+I40</f>
        <v>0</v>
      </c>
      <c r="K40" s="204"/>
      <c r="L40" s="180"/>
      <c r="M40" s="180"/>
      <c r="N40" s="180"/>
      <c r="O40" s="180"/>
      <c r="P40" s="180"/>
      <c r="Q40" s="180"/>
      <c r="R40" s="180"/>
      <c r="S40" s="180"/>
      <c r="T40" s="180"/>
      <c r="U40" s="180">
        <f t="shared" si="8"/>
        <v>0</v>
      </c>
      <c r="V40" s="211"/>
    </row>
    <row r="41" spans="2:22">
      <c r="B41" s="178" t="s">
        <v>103</v>
      </c>
      <c r="C41" s="178" t="s">
        <v>104</v>
      </c>
      <c r="D41" s="215" t="e">
        <f>#REF!</f>
        <v>#REF!</v>
      </c>
      <c r="E41" s="180">
        <v>8000</v>
      </c>
      <c r="F41" s="180"/>
      <c r="G41" s="183">
        <f t="shared" si="10"/>
        <v>8000</v>
      </c>
      <c r="H41" s="178"/>
      <c r="I41" s="180" t="e">
        <f>#REF!</f>
        <v>#REF!</v>
      </c>
      <c r="J41" s="180" t="e">
        <f t="shared" si="11"/>
        <v>#REF!</v>
      </c>
      <c r="K41" s="204"/>
      <c r="L41" s="180">
        <v>720</v>
      </c>
      <c r="M41" s="180">
        <v>71.290000000000006</v>
      </c>
      <c r="N41" s="180"/>
      <c r="O41" s="180"/>
      <c r="P41" s="180">
        <v>292</v>
      </c>
      <c r="Q41" s="180"/>
      <c r="R41" s="180"/>
      <c r="S41" s="180"/>
      <c r="T41" s="180">
        <f t="shared" ref="T41:T43" si="12">SUM(L41:R41)</f>
        <v>1083.29</v>
      </c>
      <c r="U41" s="180" t="e">
        <f t="shared" si="8"/>
        <v>#REF!</v>
      </c>
      <c r="V41" s="211"/>
    </row>
    <row r="42" spans="2:22">
      <c r="B42" s="178" t="s">
        <v>105</v>
      </c>
      <c r="C42" s="178" t="s">
        <v>106</v>
      </c>
      <c r="D42" s="215" t="e">
        <f>#REF!</f>
        <v>#REF!</v>
      </c>
      <c r="E42" s="180">
        <v>8500</v>
      </c>
      <c r="F42" s="180"/>
      <c r="G42" s="183">
        <f t="shared" si="10"/>
        <v>8500</v>
      </c>
      <c r="H42" s="178"/>
      <c r="I42" s="180"/>
      <c r="J42" s="180">
        <f t="shared" si="11"/>
        <v>8500</v>
      </c>
      <c r="K42" s="204"/>
      <c r="L42" s="180">
        <v>765</v>
      </c>
      <c r="M42" s="180">
        <v>71.290000000000006</v>
      </c>
      <c r="N42" s="180"/>
      <c r="O42" s="180"/>
      <c r="P42" s="180">
        <v>292</v>
      </c>
      <c r="Q42" s="180"/>
      <c r="R42" s="180"/>
      <c r="S42" s="180"/>
      <c r="T42" s="180">
        <f t="shared" si="12"/>
        <v>1128.29</v>
      </c>
      <c r="U42" s="180">
        <f t="shared" ref="U42:U46" si="13">(J42+K42)-T42</f>
        <v>7371.71</v>
      </c>
      <c r="V42" s="211"/>
    </row>
    <row r="43" spans="2:22">
      <c r="B43" s="178" t="s">
        <v>107</v>
      </c>
      <c r="C43" s="178" t="s">
        <v>108</v>
      </c>
      <c r="D43" s="178" t="e">
        <f>#REF!</f>
        <v>#REF!</v>
      </c>
      <c r="E43" s="180">
        <v>6000</v>
      </c>
      <c r="F43" s="180"/>
      <c r="G43" s="183">
        <f t="shared" si="10"/>
        <v>6000</v>
      </c>
      <c r="H43" s="178"/>
      <c r="I43" s="180" t="e">
        <f>#REF!</f>
        <v>#REF!</v>
      </c>
      <c r="J43" s="180" t="e">
        <f t="shared" si="11"/>
        <v>#REF!</v>
      </c>
      <c r="K43" s="204"/>
      <c r="L43" s="180">
        <v>540</v>
      </c>
      <c r="M43" s="180">
        <v>142.58000000000001</v>
      </c>
      <c r="N43" s="180"/>
      <c r="O43" s="180"/>
      <c r="P43" s="180"/>
      <c r="Q43" s="180"/>
      <c r="R43" s="180"/>
      <c r="S43" s="180"/>
      <c r="T43" s="180">
        <f t="shared" si="12"/>
        <v>682.58</v>
      </c>
      <c r="U43" s="180" t="e">
        <f t="shared" si="13"/>
        <v>#REF!</v>
      </c>
      <c r="V43" s="211"/>
    </row>
    <row r="44" spans="2:22">
      <c r="B44" s="182" t="s">
        <v>109</v>
      </c>
      <c r="C44" s="178"/>
      <c r="D44" s="178"/>
      <c r="E44" s="180"/>
      <c r="F44" s="180"/>
      <c r="G44" s="183">
        <f t="shared" si="10"/>
        <v>0</v>
      </c>
      <c r="H44" s="178"/>
      <c r="I44" s="180"/>
      <c r="J44" s="180">
        <f t="shared" si="11"/>
        <v>0</v>
      </c>
      <c r="K44" s="204"/>
      <c r="L44" s="180"/>
      <c r="M44" s="180"/>
      <c r="N44" s="180"/>
      <c r="O44" s="180"/>
      <c r="P44" s="180"/>
      <c r="Q44" s="180"/>
      <c r="R44" s="180"/>
      <c r="S44" s="180"/>
      <c r="T44" s="180"/>
      <c r="U44" s="180">
        <f t="shared" si="13"/>
        <v>0</v>
      </c>
      <c r="V44" s="211"/>
    </row>
    <row r="45" spans="2:22">
      <c r="B45" s="178" t="s">
        <v>110</v>
      </c>
      <c r="C45" s="178" t="s">
        <v>111</v>
      </c>
      <c r="D45" s="215" t="e">
        <f>#REF!</f>
        <v>#REF!</v>
      </c>
      <c r="E45" s="183">
        <v>6000</v>
      </c>
      <c r="F45" s="180"/>
      <c r="G45" s="183">
        <f t="shared" si="10"/>
        <v>6000</v>
      </c>
      <c r="H45" s="178"/>
      <c r="I45" s="183"/>
      <c r="J45" s="180">
        <f t="shared" si="11"/>
        <v>6000</v>
      </c>
      <c r="K45" s="207"/>
      <c r="L45" s="206">
        <v>540</v>
      </c>
      <c r="M45" s="180">
        <v>218.46</v>
      </c>
      <c r="N45" s="180"/>
      <c r="O45" s="180"/>
      <c r="P45" s="180"/>
      <c r="Q45" s="180"/>
      <c r="R45" s="180"/>
      <c r="S45" s="180"/>
      <c r="T45" s="180">
        <f>SUM(L45:R45)</f>
        <v>758.46</v>
      </c>
      <c r="U45" s="180">
        <f t="shared" si="13"/>
        <v>5241.54</v>
      </c>
      <c r="V45" s="213"/>
    </row>
    <row r="46" spans="2:22">
      <c r="B46" s="178" t="s">
        <v>112</v>
      </c>
      <c r="C46" s="178" t="s">
        <v>113</v>
      </c>
      <c r="D46" s="215" t="e">
        <f>#REF!</f>
        <v>#REF!</v>
      </c>
      <c r="E46" s="180">
        <v>6000</v>
      </c>
      <c r="F46" s="180" t="e">
        <f>#REF!</f>
        <v>#REF!</v>
      </c>
      <c r="G46" s="183" t="e">
        <f t="shared" si="10"/>
        <v>#REF!</v>
      </c>
      <c r="H46" s="178"/>
      <c r="I46" s="180"/>
      <c r="J46" s="180" t="e">
        <f t="shared" si="11"/>
        <v>#REF!</v>
      </c>
      <c r="K46" s="207"/>
      <c r="L46" s="180">
        <v>540</v>
      </c>
      <c r="M46" s="178"/>
      <c r="N46" s="178"/>
      <c r="O46" s="180"/>
      <c r="P46" s="180"/>
      <c r="Q46" s="180"/>
      <c r="R46" s="180"/>
      <c r="S46" s="180"/>
      <c r="T46" s="180">
        <f>SUM(L46:R46)</f>
        <v>540</v>
      </c>
      <c r="U46" s="180" t="e">
        <f t="shared" si="13"/>
        <v>#REF!</v>
      </c>
      <c r="V46" s="213"/>
    </row>
    <row r="47" spans="2:22">
      <c r="B47" s="178" t="s">
        <v>165</v>
      </c>
      <c r="C47" s="178" t="s">
        <v>166</v>
      </c>
      <c r="D47" s="215"/>
      <c r="E47" s="180">
        <v>8000</v>
      </c>
      <c r="F47" s="180"/>
      <c r="G47" s="183">
        <v>8000</v>
      </c>
      <c r="H47" s="178"/>
      <c r="I47" s="180"/>
      <c r="J47" s="180"/>
      <c r="K47" s="207"/>
      <c r="L47" s="180"/>
      <c r="M47" s="178"/>
      <c r="N47" s="178"/>
      <c r="O47" s="180"/>
      <c r="P47" s="180"/>
      <c r="Q47" s="180"/>
      <c r="R47" s="180"/>
      <c r="S47" s="180"/>
      <c r="T47" s="180"/>
      <c r="U47" s="180">
        <f>G47</f>
        <v>8000</v>
      </c>
      <c r="V47" s="213"/>
    </row>
    <row r="48" spans="2:22">
      <c r="B48" s="178" t="s">
        <v>114</v>
      </c>
      <c r="C48" s="178" t="s">
        <v>115</v>
      </c>
      <c r="D48" s="178" t="s">
        <v>167</v>
      </c>
      <c r="E48" s="180">
        <v>8500</v>
      </c>
      <c r="F48" s="180"/>
      <c r="G48" s="183">
        <f t="shared" ref="G48:G67" si="14">E48-F48</f>
        <v>8500</v>
      </c>
      <c r="H48" s="178"/>
      <c r="I48" s="180"/>
      <c r="J48" s="180"/>
      <c r="K48" s="207">
        <v>2500</v>
      </c>
      <c r="L48" s="180">
        <v>765</v>
      </c>
      <c r="M48" s="180"/>
      <c r="N48" s="180"/>
      <c r="O48" s="180"/>
      <c r="P48" s="180"/>
      <c r="Q48" s="180"/>
      <c r="R48" s="180"/>
      <c r="S48" s="180"/>
      <c r="T48" s="180">
        <f t="shared" ref="T48:T65" si="15">SUM(L48:R48)</f>
        <v>765</v>
      </c>
      <c r="U48" s="180">
        <f t="shared" ref="U48:U65" si="16">(G48+K48)-T48</f>
        <v>10235</v>
      </c>
      <c r="V48" s="213"/>
    </row>
    <row r="49" spans="2:22">
      <c r="B49" s="178" t="s">
        <v>117</v>
      </c>
      <c r="C49" s="178" t="s">
        <v>115</v>
      </c>
      <c r="D49" s="178" t="s">
        <v>167</v>
      </c>
      <c r="E49" s="183">
        <v>8500</v>
      </c>
      <c r="F49" s="180"/>
      <c r="G49" s="183">
        <f t="shared" si="14"/>
        <v>8500</v>
      </c>
      <c r="H49" s="178"/>
      <c r="I49" s="183"/>
      <c r="J49" s="180"/>
      <c r="K49" s="207">
        <v>2500</v>
      </c>
      <c r="L49" s="180">
        <v>765</v>
      </c>
      <c r="M49" s="178">
        <v>142.58000000000001</v>
      </c>
      <c r="N49" s="178"/>
      <c r="O49" s="180"/>
      <c r="P49" s="180"/>
      <c r="Q49" s="180"/>
      <c r="R49" s="180"/>
      <c r="S49" s="180"/>
      <c r="T49" s="180">
        <f t="shared" si="15"/>
        <v>907.58</v>
      </c>
      <c r="U49" s="180">
        <f t="shared" si="16"/>
        <v>10092.42</v>
      </c>
      <c r="V49" s="213"/>
    </row>
    <row r="50" spans="2:22">
      <c r="B50" s="178" t="s">
        <v>118</v>
      </c>
      <c r="C50" s="178" t="s">
        <v>111</v>
      </c>
      <c r="D50" s="178" t="s">
        <v>158</v>
      </c>
      <c r="E50" s="180">
        <v>4701.29</v>
      </c>
      <c r="F50" s="180"/>
      <c r="G50" s="183">
        <f t="shared" si="14"/>
        <v>4701.29</v>
      </c>
      <c r="H50" s="178"/>
      <c r="I50" s="180"/>
      <c r="J50" s="180"/>
      <c r="K50" s="207">
        <v>2500</v>
      </c>
      <c r="L50" s="180">
        <v>585</v>
      </c>
      <c r="M50" s="180"/>
      <c r="N50" s="180"/>
      <c r="O50" s="180"/>
      <c r="P50" s="180"/>
      <c r="Q50" s="180"/>
      <c r="R50" s="180"/>
      <c r="S50" s="180"/>
      <c r="T50" s="180">
        <f t="shared" si="15"/>
        <v>585</v>
      </c>
      <c r="U50" s="180">
        <f t="shared" si="16"/>
        <v>6616.29</v>
      </c>
    </row>
    <row r="51" spans="2:22">
      <c r="B51" s="178" t="s">
        <v>119</v>
      </c>
      <c r="C51" s="178" t="s">
        <v>111</v>
      </c>
      <c r="D51" s="178" t="s">
        <v>167</v>
      </c>
      <c r="E51" s="183">
        <v>6000</v>
      </c>
      <c r="F51" s="180"/>
      <c r="G51" s="183">
        <f t="shared" si="14"/>
        <v>6000</v>
      </c>
      <c r="H51" s="178"/>
      <c r="I51" s="183"/>
      <c r="J51" s="180"/>
      <c r="K51" s="207">
        <v>2500</v>
      </c>
      <c r="L51" s="180"/>
      <c r="M51" s="178">
        <v>142.58000000000001</v>
      </c>
      <c r="N51" s="178"/>
      <c r="O51" s="180"/>
      <c r="P51" s="180"/>
      <c r="Q51" s="180"/>
      <c r="R51" s="180"/>
      <c r="S51" s="180"/>
      <c r="T51" s="180">
        <f t="shared" si="15"/>
        <v>142.58000000000001</v>
      </c>
      <c r="U51" s="180">
        <f t="shared" si="16"/>
        <v>8357.42</v>
      </c>
    </row>
    <row r="52" spans="2:22">
      <c r="B52" s="178" t="s">
        <v>120</v>
      </c>
      <c r="C52" s="178" t="s">
        <v>111</v>
      </c>
      <c r="D52" s="178" t="s">
        <v>167</v>
      </c>
      <c r="E52" s="183">
        <v>6000</v>
      </c>
      <c r="F52" s="180"/>
      <c r="G52" s="183">
        <f t="shared" si="14"/>
        <v>6000</v>
      </c>
      <c r="H52" s="178"/>
      <c r="I52" s="183"/>
      <c r="J52" s="180"/>
      <c r="K52" s="207">
        <v>2500</v>
      </c>
      <c r="L52" s="180">
        <v>540</v>
      </c>
      <c r="M52" s="178">
        <v>218.46</v>
      </c>
      <c r="N52" s="178"/>
      <c r="O52" s="180"/>
      <c r="P52" s="180"/>
      <c r="Q52" s="180"/>
      <c r="R52" s="180"/>
      <c r="S52" s="180"/>
      <c r="T52" s="180">
        <f t="shared" si="15"/>
        <v>758.46</v>
      </c>
      <c r="U52" s="180">
        <f t="shared" si="16"/>
        <v>7741.54</v>
      </c>
    </row>
    <row r="53" spans="2:22">
      <c r="B53" s="178" t="s">
        <v>121</v>
      </c>
      <c r="C53" s="178" t="s">
        <v>111</v>
      </c>
      <c r="D53" s="178" t="s">
        <v>168</v>
      </c>
      <c r="E53" s="183">
        <v>3945.2</v>
      </c>
      <c r="F53" s="180"/>
      <c r="G53" s="183">
        <f t="shared" si="14"/>
        <v>3945.2</v>
      </c>
      <c r="H53" s="178"/>
      <c r="I53" s="183"/>
      <c r="J53" s="180"/>
      <c r="K53" s="207">
        <v>2500</v>
      </c>
      <c r="L53" s="180">
        <v>540</v>
      </c>
      <c r="M53" s="178">
        <v>218.46</v>
      </c>
      <c r="N53" s="178"/>
      <c r="O53" s="180"/>
      <c r="P53" s="180"/>
      <c r="Q53" s="180"/>
      <c r="R53" s="180"/>
      <c r="S53" s="180"/>
      <c r="T53" s="180">
        <f t="shared" si="15"/>
        <v>758.46</v>
      </c>
      <c r="U53" s="180">
        <f t="shared" si="16"/>
        <v>5686.74</v>
      </c>
    </row>
    <row r="54" spans="2:22">
      <c r="B54" s="178" t="s">
        <v>122</v>
      </c>
      <c r="C54" s="178" t="s">
        <v>113</v>
      </c>
      <c r="D54" s="178" t="s">
        <v>167</v>
      </c>
      <c r="E54" s="183">
        <v>5000</v>
      </c>
      <c r="F54" s="180"/>
      <c r="G54" s="183">
        <f t="shared" si="14"/>
        <v>5000</v>
      </c>
      <c r="H54" s="178"/>
      <c r="I54" s="183"/>
      <c r="J54" s="180"/>
      <c r="K54" s="207">
        <v>2500</v>
      </c>
      <c r="L54" s="180"/>
      <c r="M54" s="178"/>
      <c r="N54" s="178"/>
      <c r="O54" s="180"/>
      <c r="P54" s="180"/>
      <c r="Q54" s="180"/>
      <c r="R54" s="180"/>
      <c r="S54" s="180"/>
      <c r="T54" s="180">
        <f t="shared" si="15"/>
        <v>0</v>
      </c>
      <c r="U54" s="180">
        <f t="shared" si="16"/>
        <v>7500</v>
      </c>
    </row>
    <row r="55" spans="2:22">
      <c r="B55" s="178" t="s">
        <v>123</v>
      </c>
      <c r="C55" s="178" t="s">
        <v>113</v>
      </c>
      <c r="D55" s="178" t="s">
        <v>167</v>
      </c>
      <c r="E55" s="183">
        <v>5000</v>
      </c>
      <c r="F55" s="180"/>
      <c r="G55" s="183">
        <f t="shared" si="14"/>
        <v>5000</v>
      </c>
      <c r="H55" s="178"/>
      <c r="I55" s="183"/>
      <c r="J55" s="180"/>
      <c r="K55" s="207">
        <v>2500</v>
      </c>
      <c r="L55" s="180"/>
      <c r="M55" s="178"/>
      <c r="N55" s="178"/>
      <c r="O55" s="180"/>
      <c r="P55" s="180"/>
      <c r="Q55" s="180"/>
      <c r="R55" s="180"/>
      <c r="S55" s="180"/>
      <c r="T55" s="180">
        <f t="shared" si="15"/>
        <v>0</v>
      </c>
      <c r="U55" s="180">
        <f t="shared" si="16"/>
        <v>7500</v>
      </c>
    </row>
    <row r="56" spans="2:22">
      <c r="B56" s="178" t="s">
        <v>124</v>
      </c>
      <c r="C56" s="178" t="s">
        <v>113</v>
      </c>
      <c r="D56" s="178" t="s">
        <v>167</v>
      </c>
      <c r="E56" s="183">
        <v>5000</v>
      </c>
      <c r="F56" s="180"/>
      <c r="G56" s="183">
        <f t="shared" si="14"/>
        <v>5000</v>
      </c>
      <c r="H56" s="178"/>
      <c r="I56" s="183"/>
      <c r="J56" s="180"/>
      <c r="K56" s="207">
        <v>2500</v>
      </c>
      <c r="L56" s="180">
        <v>450</v>
      </c>
      <c r="M56" s="178"/>
      <c r="N56" s="178"/>
      <c r="O56" s="180"/>
      <c r="P56" s="180"/>
      <c r="Q56" s="180"/>
      <c r="R56" s="180"/>
      <c r="S56" s="180"/>
      <c r="T56" s="180">
        <f t="shared" si="15"/>
        <v>450</v>
      </c>
      <c r="U56" s="180">
        <f t="shared" si="16"/>
        <v>7050</v>
      </c>
    </row>
    <row r="57" spans="2:22">
      <c r="B57" s="178" t="s">
        <v>125</v>
      </c>
      <c r="C57" s="178" t="s">
        <v>113</v>
      </c>
      <c r="D57" s="178" t="s">
        <v>167</v>
      </c>
      <c r="E57" s="183">
        <v>5000</v>
      </c>
      <c r="F57" s="180"/>
      <c r="G57" s="183">
        <f t="shared" si="14"/>
        <v>5000</v>
      </c>
      <c r="H57" s="178"/>
      <c r="I57" s="183"/>
      <c r="J57" s="180"/>
      <c r="K57" s="207">
        <v>2500</v>
      </c>
      <c r="L57" s="180">
        <v>450</v>
      </c>
      <c r="M57" s="178"/>
      <c r="N57" s="178"/>
      <c r="O57" s="180"/>
      <c r="P57" s="180"/>
      <c r="Q57" s="180"/>
      <c r="R57" s="180"/>
      <c r="S57" s="180"/>
      <c r="T57" s="180">
        <f t="shared" si="15"/>
        <v>450</v>
      </c>
      <c r="U57" s="180">
        <f t="shared" si="16"/>
        <v>7050</v>
      </c>
    </row>
    <row r="58" spans="2:22">
      <c r="B58" s="178" t="s">
        <v>126</v>
      </c>
      <c r="C58" s="178" t="s">
        <v>113</v>
      </c>
      <c r="D58" s="178" t="s">
        <v>167</v>
      </c>
      <c r="E58" s="183">
        <v>5000</v>
      </c>
      <c r="F58" s="180"/>
      <c r="G58" s="183">
        <f t="shared" si="14"/>
        <v>5000</v>
      </c>
      <c r="H58" s="178"/>
      <c r="I58" s="183"/>
      <c r="J58" s="180"/>
      <c r="K58" s="207">
        <v>2500</v>
      </c>
      <c r="L58" s="180"/>
      <c r="M58" s="178"/>
      <c r="N58" s="178"/>
      <c r="O58" s="180"/>
      <c r="P58" s="180"/>
      <c r="Q58" s="180"/>
      <c r="R58" s="180"/>
      <c r="S58" s="180"/>
      <c r="T58" s="180">
        <f t="shared" si="15"/>
        <v>0</v>
      </c>
      <c r="U58" s="180">
        <f t="shared" si="16"/>
        <v>7500</v>
      </c>
    </row>
    <row r="59" spans="2:22">
      <c r="B59" s="178" t="s">
        <v>127</v>
      </c>
      <c r="C59" s="178" t="s">
        <v>113</v>
      </c>
      <c r="D59" s="178" t="s">
        <v>167</v>
      </c>
      <c r="E59" s="183">
        <v>5000</v>
      </c>
      <c r="F59" s="180"/>
      <c r="G59" s="183">
        <f t="shared" si="14"/>
        <v>5000</v>
      </c>
      <c r="H59" s="178"/>
      <c r="I59" s="183"/>
      <c r="J59" s="180"/>
      <c r="K59" s="207">
        <v>2500</v>
      </c>
      <c r="L59" s="180"/>
      <c r="M59" s="178"/>
      <c r="N59" s="178"/>
      <c r="O59" s="180"/>
      <c r="P59" s="180"/>
      <c r="Q59" s="180"/>
      <c r="R59" s="180"/>
      <c r="S59" s="180"/>
      <c r="T59" s="180">
        <f t="shared" si="15"/>
        <v>0</v>
      </c>
      <c r="U59" s="180">
        <f t="shared" si="16"/>
        <v>7500</v>
      </c>
    </row>
    <row r="60" spans="2:22">
      <c r="B60" s="178" t="s">
        <v>128</v>
      </c>
      <c r="C60" s="178" t="s">
        <v>113</v>
      </c>
      <c r="D60" s="178" t="s">
        <v>167</v>
      </c>
      <c r="E60" s="183">
        <v>5000</v>
      </c>
      <c r="F60" s="180"/>
      <c r="G60" s="183">
        <f t="shared" si="14"/>
        <v>5000</v>
      </c>
      <c r="H60" s="178"/>
      <c r="I60" s="183"/>
      <c r="J60" s="180"/>
      <c r="K60" s="207">
        <v>2500</v>
      </c>
      <c r="L60" s="180"/>
      <c r="M60" s="178"/>
      <c r="N60" s="178"/>
      <c r="O60" s="180"/>
      <c r="P60" s="180"/>
      <c r="Q60" s="180"/>
      <c r="R60" s="180"/>
      <c r="S60" s="180"/>
      <c r="T60" s="180">
        <f t="shared" si="15"/>
        <v>0</v>
      </c>
      <c r="U60" s="180">
        <f t="shared" si="16"/>
        <v>7500</v>
      </c>
    </row>
    <row r="61" spans="2:22">
      <c r="B61" s="178" t="s">
        <v>129</v>
      </c>
      <c r="C61" s="178" t="s">
        <v>113</v>
      </c>
      <c r="D61" s="178" t="s">
        <v>167</v>
      </c>
      <c r="E61" s="183">
        <v>5000</v>
      </c>
      <c r="F61" s="180"/>
      <c r="G61" s="183">
        <f t="shared" si="14"/>
        <v>5000</v>
      </c>
      <c r="H61" s="178"/>
      <c r="I61" s="183"/>
      <c r="J61" s="180"/>
      <c r="K61" s="207">
        <v>2500</v>
      </c>
      <c r="L61" s="180"/>
      <c r="M61" s="178"/>
      <c r="N61" s="178"/>
      <c r="O61" s="180"/>
      <c r="P61" s="180"/>
      <c r="Q61" s="180"/>
      <c r="R61" s="180"/>
      <c r="S61" s="180">
        <v>1000</v>
      </c>
      <c r="T61" s="180">
        <f t="shared" si="15"/>
        <v>0</v>
      </c>
      <c r="U61" s="180">
        <f t="shared" si="16"/>
        <v>7500</v>
      </c>
    </row>
    <row r="62" spans="2:22">
      <c r="B62" s="178" t="s">
        <v>130</v>
      </c>
      <c r="C62" s="178" t="s">
        <v>113</v>
      </c>
      <c r="D62" s="178" t="s">
        <v>167</v>
      </c>
      <c r="E62" s="183">
        <v>5000</v>
      </c>
      <c r="F62" s="180"/>
      <c r="G62" s="183">
        <f t="shared" si="14"/>
        <v>5000</v>
      </c>
      <c r="H62" s="178"/>
      <c r="I62" s="183"/>
      <c r="J62" s="180"/>
      <c r="K62" s="207">
        <v>2500</v>
      </c>
      <c r="L62" s="180">
        <v>450</v>
      </c>
      <c r="M62" s="178"/>
      <c r="N62" s="178"/>
      <c r="O62" s="180"/>
      <c r="P62" s="180"/>
      <c r="Q62" s="180"/>
      <c r="R62" s="180"/>
      <c r="S62" s="180"/>
      <c r="T62" s="180">
        <f t="shared" si="15"/>
        <v>450</v>
      </c>
      <c r="U62" s="180">
        <f t="shared" si="16"/>
        <v>7050</v>
      </c>
    </row>
    <row r="63" spans="2:22">
      <c r="B63" s="178" t="s">
        <v>131</v>
      </c>
      <c r="C63" s="178" t="s">
        <v>113</v>
      </c>
      <c r="D63" s="178" t="s">
        <v>167</v>
      </c>
      <c r="E63" s="183">
        <v>5000</v>
      </c>
      <c r="F63" s="180"/>
      <c r="G63" s="183">
        <f t="shared" si="14"/>
        <v>5000</v>
      </c>
      <c r="H63" s="178"/>
      <c r="I63" s="183"/>
      <c r="J63" s="180"/>
      <c r="K63" s="207">
        <v>2500</v>
      </c>
      <c r="L63" s="180">
        <v>450</v>
      </c>
      <c r="M63" s="178"/>
      <c r="N63" s="178"/>
      <c r="O63" s="180"/>
      <c r="P63" s="180"/>
      <c r="Q63" s="180"/>
      <c r="R63" s="180"/>
      <c r="S63" s="180"/>
      <c r="T63" s="180">
        <f t="shared" si="15"/>
        <v>450</v>
      </c>
      <c r="U63" s="180">
        <f t="shared" si="16"/>
        <v>7050</v>
      </c>
    </row>
    <row r="64" spans="2:22">
      <c r="B64" s="178" t="s">
        <v>132</v>
      </c>
      <c r="C64" s="178" t="s">
        <v>113</v>
      </c>
      <c r="D64" s="178" t="s">
        <v>167</v>
      </c>
      <c r="E64" s="183">
        <v>5000</v>
      </c>
      <c r="F64" s="180"/>
      <c r="G64" s="183">
        <f t="shared" si="14"/>
        <v>5000</v>
      </c>
      <c r="H64" s="178"/>
      <c r="I64" s="183"/>
      <c r="J64" s="180"/>
      <c r="K64" s="207">
        <v>2500</v>
      </c>
      <c r="L64" s="180">
        <v>450</v>
      </c>
      <c r="M64" s="178"/>
      <c r="N64" s="178"/>
      <c r="O64" s="180"/>
      <c r="P64" s="180"/>
      <c r="Q64" s="180"/>
      <c r="R64" s="209">
        <f>SUM(R13:R62)</f>
        <v>7530</v>
      </c>
      <c r="S64" s="209">
        <f>SUM(S13:S62)</f>
        <v>27008.570000000003</v>
      </c>
      <c r="T64" s="180">
        <f t="shared" si="15"/>
        <v>7980</v>
      </c>
      <c r="U64" s="180">
        <f t="shared" si="16"/>
        <v>-480</v>
      </c>
    </row>
    <row r="65" spans="2:24">
      <c r="B65" s="178" t="s">
        <v>133</v>
      </c>
      <c r="C65" s="178" t="s">
        <v>113</v>
      </c>
      <c r="D65" s="178" t="s">
        <v>167</v>
      </c>
      <c r="E65" s="183">
        <v>5000</v>
      </c>
      <c r="F65" s="180"/>
      <c r="G65" s="183">
        <f t="shared" si="14"/>
        <v>5000</v>
      </c>
      <c r="H65" s="178"/>
      <c r="I65" s="183"/>
      <c r="J65" s="180"/>
      <c r="K65" s="207">
        <v>2500</v>
      </c>
      <c r="L65" s="180"/>
      <c r="M65" s="178"/>
      <c r="N65" s="178"/>
      <c r="O65" s="180"/>
      <c r="P65" s="180"/>
      <c r="Q65" s="180"/>
      <c r="R65" s="210"/>
      <c r="S65" s="210"/>
      <c r="T65" s="180">
        <f t="shared" si="15"/>
        <v>0</v>
      </c>
      <c r="U65" s="180">
        <f t="shared" si="16"/>
        <v>7500</v>
      </c>
    </row>
    <row r="66" spans="2:24">
      <c r="B66" s="178" t="s">
        <v>134</v>
      </c>
      <c r="C66" s="178" t="s">
        <v>113</v>
      </c>
      <c r="D66" s="217" t="s">
        <v>167</v>
      </c>
      <c r="E66" s="183">
        <v>5000</v>
      </c>
      <c r="F66" s="180"/>
      <c r="G66" s="183">
        <f t="shared" si="14"/>
        <v>5000</v>
      </c>
      <c r="H66" s="178"/>
      <c r="I66" s="183"/>
      <c r="J66" s="180"/>
      <c r="K66" s="207">
        <v>2500</v>
      </c>
      <c r="L66" s="180"/>
      <c r="M66" s="180"/>
      <c r="N66" s="178"/>
      <c r="O66" s="178"/>
      <c r="P66" s="180"/>
      <c r="Q66" s="180"/>
      <c r="R66" s="194"/>
      <c r="S66" s="194"/>
      <c r="T66" s="180"/>
      <c r="U66" s="180"/>
      <c r="V66" s="180"/>
    </row>
    <row r="67" spans="2:24">
      <c r="B67" s="188" t="s">
        <v>135</v>
      </c>
      <c r="C67" s="188"/>
      <c r="D67" s="188"/>
      <c r="E67" s="193" t="e">
        <f>SUM(E13:E66)</f>
        <v>#REF!</v>
      </c>
      <c r="F67" s="193" t="e">
        <f>SUM(F13:F66)</f>
        <v>#REF!</v>
      </c>
      <c r="G67" s="183" t="e">
        <f t="shared" si="14"/>
        <v>#REF!</v>
      </c>
      <c r="H67" s="193" t="e">
        <f t="shared" ref="H67:Q67" si="17">SUM(H13:H66)</f>
        <v>#REF!</v>
      </c>
      <c r="I67" s="193" t="e">
        <f>SUM(I13:I65)</f>
        <v>#REF!</v>
      </c>
      <c r="J67" s="193"/>
      <c r="K67" s="208">
        <f t="shared" si="17"/>
        <v>69250</v>
      </c>
      <c r="L67" s="208">
        <f t="shared" si="17"/>
        <v>22410</v>
      </c>
      <c r="M67" s="208">
        <f t="shared" si="17"/>
        <v>3329.8299999999995</v>
      </c>
      <c r="N67" s="208">
        <f t="shared" si="17"/>
        <v>1400.03</v>
      </c>
      <c r="O67" s="208">
        <f t="shared" si="17"/>
        <v>2487</v>
      </c>
      <c r="P67" s="208">
        <f t="shared" si="17"/>
        <v>10959</v>
      </c>
      <c r="Q67" s="208">
        <f t="shared" si="17"/>
        <v>1015.19</v>
      </c>
      <c r="R67" s="168"/>
      <c r="S67" s="168"/>
      <c r="T67" s="209">
        <f>SUM(T13:T65)</f>
        <v>55661.050000000017</v>
      </c>
      <c r="U67" s="193" t="e">
        <f>SUM(U13:U65)</f>
        <v>#REF!</v>
      </c>
      <c r="V67" s="213"/>
    </row>
    <row r="68" spans="2:24">
      <c r="B68" s="194"/>
      <c r="C68" s="194"/>
      <c r="D68" s="194"/>
      <c r="E68" s="194"/>
      <c r="F68" s="196"/>
      <c r="G68" s="194"/>
      <c r="H68" s="194"/>
      <c r="I68" s="194"/>
      <c r="J68" s="194"/>
      <c r="K68" s="210"/>
      <c r="L68" s="210"/>
      <c r="M68" s="194"/>
      <c r="N68" s="210"/>
      <c r="O68" s="210"/>
      <c r="P68" s="210"/>
      <c r="Q68" s="210"/>
      <c r="R68" s="168"/>
      <c r="S68" s="168"/>
      <c r="T68" s="211"/>
    </row>
    <row r="69" spans="2:24">
      <c r="B69" s="194" t="s">
        <v>136</v>
      </c>
      <c r="G69" s="194" t="s">
        <v>137</v>
      </c>
      <c r="H69" s="194"/>
      <c r="N69" s="194" t="s">
        <v>138</v>
      </c>
      <c r="O69" s="194"/>
      <c r="P69" s="194"/>
      <c r="Q69" s="194"/>
      <c r="R69" s="168"/>
      <c r="S69" s="168"/>
      <c r="T69" s="211"/>
    </row>
    <row r="70" spans="2:24">
      <c r="B70" s="194"/>
      <c r="I70" s="194"/>
      <c r="K70" s="168"/>
      <c r="N70" s="168"/>
      <c r="O70" s="168"/>
      <c r="P70" s="168"/>
      <c r="Q70" s="168"/>
      <c r="V70" s="194"/>
      <c r="X70" s="196"/>
    </row>
    <row r="71" spans="2:24">
      <c r="B71" s="194" t="s">
        <v>140</v>
      </c>
      <c r="G71" s="194" t="s">
        <v>141</v>
      </c>
      <c r="K71" s="168"/>
      <c r="N71" s="194" t="s">
        <v>142</v>
      </c>
      <c r="O71" s="194"/>
      <c r="P71" s="168"/>
      <c r="Q71" s="168"/>
      <c r="X71" s="170"/>
    </row>
    <row r="72" spans="2:24">
      <c r="B72" s="168" t="s">
        <v>91</v>
      </c>
      <c r="G72" s="168" t="s">
        <v>144</v>
      </c>
      <c r="K72" s="168"/>
      <c r="N72" s="168" t="s">
        <v>68</v>
      </c>
      <c r="O72" s="168"/>
      <c r="P72" s="168"/>
      <c r="Q72" s="168"/>
      <c r="X72" s="170"/>
    </row>
    <row r="73" spans="2:24">
      <c r="K73" s="168"/>
      <c r="N73" s="168"/>
      <c r="O73" s="168"/>
      <c r="X73" s="170"/>
    </row>
    <row r="74" spans="2:24">
      <c r="B74" s="194"/>
      <c r="E74" s="194"/>
      <c r="I74" s="194"/>
    </row>
    <row r="75" spans="2:24">
      <c r="B75" s="194"/>
      <c r="E75" s="194"/>
      <c r="F75" s="196"/>
      <c r="G75" s="194"/>
      <c r="H75" s="194"/>
      <c r="I75" s="194"/>
    </row>
    <row r="76" spans="2:24">
      <c r="B76" s="194"/>
      <c r="E76" s="194"/>
      <c r="F76" s="196"/>
      <c r="G76" s="194"/>
      <c r="H76" s="194"/>
      <c r="I76" s="194"/>
    </row>
  </sheetData>
  <autoFilter ref="B8:B77" xr:uid="{00000000-0009-0000-0000-000004000000}"/>
  <mergeCells count="21">
    <mergeCell ref="S10:S11"/>
    <mergeCell ref="T8:T11"/>
    <mergeCell ref="U8:U11"/>
    <mergeCell ref="L8:M9"/>
    <mergeCell ref="N8:R9"/>
    <mergeCell ref="B3:U3"/>
    <mergeCell ref="B8:B11"/>
    <mergeCell ref="C8:C11"/>
    <mergeCell ref="D8:D11"/>
    <mergeCell ref="E8:E11"/>
    <mergeCell ref="F8:F11"/>
    <mergeCell ref="G8:G11"/>
    <mergeCell ref="H8:H11"/>
    <mergeCell ref="I8:I11"/>
    <mergeCell ref="J8:J11"/>
    <mergeCell ref="K8:K11"/>
    <mergeCell ref="N10:N11"/>
    <mergeCell ref="O10:O11"/>
    <mergeCell ref="P10:P11"/>
    <mergeCell ref="Q10:Q11"/>
    <mergeCell ref="R10:R11"/>
  </mergeCells>
  <pageMargins left="0" right="0" top="0" bottom="0" header="0.3" footer="0.3"/>
  <pageSetup paperSize="9" scale="65" orientation="landscape" horizontalDpi="360" verticalDpi="360" r:id="rId1"/>
  <colBreaks count="1" manualBreakCount="1">
    <brk id="21" max="72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3:BC76"/>
  <sheetViews>
    <sheetView topLeftCell="A10" zoomScale="96" zoomScaleNormal="96" zoomScaleSheetLayoutView="96" workbookViewId="0">
      <selection activeCell="J24" sqref="J24"/>
    </sheetView>
  </sheetViews>
  <sheetFormatPr defaultColWidth="8" defaultRowHeight="12"/>
  <cols>
    <col min="1" max="1" width="16.625" style="168" customWidth="1"/>
    <col min="2" max="2" width="15.375" style="168" customWidth="1"/>
    <col min="3" max="3" width="4.625" style="169" customWidth="1"/>
    <col min="4" max="4" width="9.375" style="168" customWidth="1"/>
    <col min="5" max="5" width="8.875" style="170" customWidth="1"/>
    <col min="6" max="6" width="9" style="168" customWidth="1"/>
    <col min="7" max="7" width="6.5" style="168" customWidth="1"/>
    <col min="8" max="8" width="9.375" style="168" customWidth="1"/>
    <col min="9" max="9" width="9" style="168" customWidth="1"/>
    <col min="10" max="10" width="8.125" style="170" customWidth="1"/>
    <col min="11" max="11" width="6" style="170" customWidth="1"/>
    <col min="12" max="12" width="8" style="168"/>
    <col min="13" max="13" width="7.125" style="170" customWidth="1"/>
    <col min="14" max="14" width="8" style="168"/>
    <col min="15" max="15" width="6.625" style="170" customWidth="1"/>
    <col min="16" max="16" width="7.625" style="170" customWidth="1"/>
    <col min="17" max="17" width="7.5" style="170" customWidth="1"/>
    <col min="18" max="18" width="5.875" style="170" customWidth="1"/>
    <col min="19" max="20" width="7.625" style="170" customWidth="1"/>
    <col min="21" max="21" width="7.375" style="170" customWidth="1"/>
    <col min="22" max="22" width="6.625" style="170" customWidth="1"/>
    <col min="23" max="23" width="8.625" style="168" customWidth="1"/>
    <col min="24" max="24" width="13.375" style="170" customWidth="1"/>
    <col min="25" max="25" width="9" style="168" customWidth="1"/>
    <col min="26" max="16384" width="8" style="168"/>
  </cols>
  <sheetData>
    <row r="3" spans="1:55" ht="15">
      <c r="A3" s="529" t="s">
        <v>31</v>
      </c>
      <c r="B3" s="529"/>
      <c r="C3" s="530"/>
      <c r="D3" s="529"/>
      <c r="E3" s="529"/>
      <c r="F3" s="529"/>
      <c r="G3" s="529"/>
      <c r="H3" s="529"/>
      <c r="I3" s="529"/>
      <c r="J3" s="529"/>
      <c r="K3" s="529"/>
      <c r="L3" s="529"/>
      <c r="M3" s="529"/>
      <c r="N3" s="529"/>
      <c r="O3" s="529"/>
      <c r="P3" s="529"/>
      <c r="Q3" s="529"/>
      <c r="R3" s="529"/>
      <c r="S3" s="529"/>
      <c r="T3" s="529"/>
      <c r="U3" s="529"/>
      <c r="V3" s="529"/>
      <c r="W3" s="529"/>
      <c r="X3" s="529"/>
    </row>
    <row r="4" spans="1:55" ht="15" customHeight="1">
      <c r="A4" s="22" t="s">
        <v>32</v>
      </c>
    </row>
    <row r="5" spans="1:55" ht="15" customHeight="1">
      <c r="A5" s="22" t="s">
        <v>33</v>
      </c>
      <c r="B5" s="559" t="s">
        <v>169</v>
      </c>
      <c r="C5" s="559"/>
      <c r="D5" s="559"/>
    </row>
    <row r="6" spans="1:55" ht="15" customHeight="1">
      <c r="A6" s="22" t="s">
        <v>35</v>
      </c>
      <c r="B6" s="560">
        <v>44804</v>
      </c>
      <c r="C6" s="560"/>
      <c r="D6" s="560"/>
    </row>
    <row r="7" spans="1:55" ht="15" customHeight="1">
      <c r="A7" s="22"/>
    </row>
    <row r="8" spans="1:55" ht="15.75" customHeight="1">
      <c r="A8" s="482" t="s">
        <v>36</v>
      </c>
      <c r="B8" s="531" t="s">
        <v>37</v>
      </c>
      <c r="C8" s="556" t="s">
        <v>38</v>
      </c>
      <c r="D8" s="537" t="s">
        <v>39</v>
      </c>
      <c r="E8" s="540" t="s">
        <v>40</v>
      </c>
      <c r="F8" s="543" t="s">
        <v>41</v>
      </c>
      <c r="G8" s="561" t="s">
        <v>42</v>
      </c>
      <c r="H8" s="546" t="s">
        <v>43</v>
      </c>
      <c r="I8" s="482" t="s">
        <v>44</v>
      </c>
      <c r="J8" s="517" t="s">
        <v>45</v>
      </c>
      <c r="K8" s="197"/>
      <c r="L8" s="197"/>
      <c r="M8" s="503"/>
      <c r="N8" s="549"/>
      <c r="O8" s="554" t="s">
        <v>46</v>
      </c>
      <c r="P8" s="503"/>
      <c r="Q8" s="503"/>
      <c r="R8" s="503"/>
      <c r="S8" s="503"/>
      <c r="T8" s="503"/>
      <c r="U8" s="549"/>
      <c r="V8" s="172"/>
      <c r="W8" s="482" t="s">
        <v>47</v>
      </c>
      <c r="X8" s="482" t="s">
        <v>48</v>
      </c>
    </row>
    <row r="9" spans="1:55" ht="15.75" customHeight="1">
      <c r="A9" s="483"/>
      <c r="B9" s="532"/>
      <c r="C9" s="557"/>
      <c r="D9" s="538"/>
      <c r="E9" s="541"/>
      <c r="F9" s="544"/>
      <c r="G9" s="562"/>
      <c r="H9" s="547"/>
      <c r="I9" s="483"/>
      <c r="J9" s="519"/>
      <c r="K9" s="198"/>
      <c r="L9" s="198"/>
      <c r="M9" s="553"/>
      <c r="N9" s="550"/>
      <c r="O9" s="555"/>
      <c r="P9" s="553"/>
      <c r="Q9" s="553"/>
      <c r="R9" s="553"/>
      <c r="S9" s="553"/>
      <c r="T9" s="553"/>
      <c r="U9" s="550"/>
      <c r="V9" s="173"/>
      <c r="W9" s="483"/>
      <c r="X9" s="483"/>
    </row>
    <row r="10" spans="1:55" ht="15" customHeight="1">
      <c r="A10" s="483"/>
      <c r="B10" s="532"/>
      <c r="C10" s="557"/>
      <c r="D10" s="538"/>
      <c r="E10" s="541"/>
      <c r="F10" s="544"/>
      <c r="G10" s="562"/>
      <c r="H10" s="547"/>
      <c r="I10" s="483"/>
      <c r="J10" s="517"/>
      <c r="K10" s="199" t="s">
        <v>49</v>
      </c>
      <c r="L10" s="199" t="s">
        <v>50</v>
      </c>
      <c r="M10" s="199" t="s">
        <v>146</v>
      </c>
      <c r="N10" s="200" t="s">
        <v>51</v>
      </c>
      <c r="O10" s="549" t="s">
        <v>52</v>
      </c>
      <c r="P10" s="551" t="s">
        <v>53</v>
      </c>
      <c r="Q10" s="497" t="s">
        <v>54</v>
      </c>
      <c r="R10" s="497" t="s">
        <v>55</v>
      </c>
      <c r="S10" s="497" t="s">
        <v>147</v>
      </c>
      <c r="T10" s="497" t="s">
        <v>148</v>
      </c>
      <c r="U10" s="551" t="s">
        <v>149</v>
      </c>
      <c r="V10" s="497" t="s">
        <v>57</v>
      </c>
      <c r="W10" s="483"/>
      <c r="X10" s="483"/>
    </row>
    <row r="11" spans="1:55" ht="46.5" customHeight="1">
      <c r="A11" s="484"/>
      <c r="B11" s="533"/>
      <c r="C11" s="558"/>
      <c r="D11" s="539"/>
      <c r="E11" s="542"/>
      <c r="F11" s="545"/>
      <c r="G11" s="563"/>
      <c r="H11" s="548"/>
      <c r="I11" s="484"/>
      <c r="J11" s="519"/>
      <c r="K11" s="201"/>
      <c r="L11" s="201"/>
      <c r="M11" s="201"/>
      <c r="N11" s="202" t="s">
        <v>58</v>
      </c>
      <c r="O11" s="550"/>
      <c r="P11" s="552"/>
      <c r="Q11" s="499"/>
      <c r="R11" s="499"/>
      <c r="S11" s="499"/>
      <c r="T11" s="499"/>
      <c r="U11" s="552"/>
      <c r="V11" s="499"/>
      <c r="W11" s="484"/>
      <c r="X11" s="484"/>
    </row>
    <row r="12" spans="1:55" ht="15" customHeight="1">
      <c r="A12" s="174"/>
      <c r="B12" s="175"/>
      <c r="C12" s="176"/>
      <c r="D12" s="177"/>
      <c r="E12" s="177"/>
      <c r="F12" s="177"/>
      <c r="G12" s="177"/>
      <c r="H12" s="177"/>
      <c r="I12" s="177"/>
      <c r="J12" s="203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AI12" s="194"/>
      <c r="AJ12" s="194"/>
      <c r="AK12" s="194"/>
      <c r="AL12" s="194"/>
      <c r="AM12" s="194"/>
      <c r="AN12" s="194"/>
      <c r="AO12" s="194"/>
      <c r="AP12" s="194"/>
      <c r="AQ12" s="194"/>
      <c r="AR12" s="210"/>
      <c r="AS12" s="194"/>
      <c r="AT12" s="194"/>
      <c r="AU12" s="194"/>
      <c r="AV12" s="194"/>
      <c r="AW12" s="194"/>
      <c r="AX12" s="194"/>
      <c r="AY12" s="194"/>
      <c r="AZ12" s="210"/>
      <c r="BA12" s="194"/>
      <c r="BB12" s="210"/>
      <c r="BC12" s="194"/>
    </row>
    <row r="13" spans="1:55">
      <c r="A13" s="178" t="s">
        <v>59</v>
      </c>
      <c r="B13" s="178" t="s">
        <v>60</v>
      </c>
      <c r="C13" s="179"/>
      <c r="D13" s="180">
        <v>15000</v>
      </c>
      <c r="E13" s="180"/>
      <c r="F13" s="181">
        <f t="shared" ref="F13:F17" si="0">D13-E13</f>
        <v>15000</v>
      </c>
      <c r="G13" s="178"/>
      <c r="H13" s="180"/>
      <c r="I13" s="180">
        <f t="shared" ref="I13:I17" si="1">F13+G13+H13</f>
        <v>15000</v>
      </c>
      <c r="J13" s="204">
        <v>2500</v>
      </c>
      <c r="K13" s="180"/>
      <c r="L13" s="180"/>
      <c r="M13" s="180"/>
      <c r="N13" s="205">
        <v>147.16999999999999</v>
      </c>
      <c r="O13" s="183"/>
      <c r="P13" s="180">
        <v>1524.75</v>
      </c>
      <c r="Q13" s="180">
        <v>5000</v>
      </c>
      <c r="R13" s="180"/>
      <c r="S13" s="180">
        <v>500</v>
      </c>
      <c r="T13" s="180"/>
      <c r="U13" s="180">
        <v>9024.15</v>
      </c>
      <c r="V13" s="180"/>
      <c r="W13" s="180">
        <f t="shared" ref="W13:W17" si="2">SUM(M13:U13)</f>
        <v>16196.07</v>
      </c>
      <c r="X13" s="180">
        <f t="shared" ref="X13:X18" si="3">(D13+J13)-W13</f>
        <v>1303.9300000000003</v>
      </c>
      <c r="Y13" s="212"/>
      <c r="AI13" s="194"/>
      <c r="AJ13" s="194"/>
      <c r="AK13" s="194"/>
      <c r="AL13" s="194"/>
      <c r="AM13" s="194"/>
      <c r="AN13" s="194"/>
      <c r="AO13" s="194"/>
      <c r="AP13" s="194"/>
      <c r="AQ13" s="194"/>
      <c r="AR13" s="210"/>
      <c r="AS13" s="194"/>
      <c r="AT13" s="194"/>
      <c r="AU13" s="194"/>
      <c r="AV13" s="194"/>
      <c r="AW13" s="194"/>
      <c r="AX13" s="194"/>
      <c r="AY13" s="194"/>
      <c r="AZ13" s="210"/>
      <c r="BA13" s="194"/>
      <c r="BB13" s="210"/>
      <c r="BC13" s="194"/>
    </row>
    <row r="14" spans="1:55">
      <c r="A14" s="178" t="s">
        <v>61</v>
      </c>
      <c r="B14" s="178" t="s">
        <v>62</v>
      </c>
      <c r="C14" s="179"/>
      <c r="D14" s="180">
        <v>13250</v>
      </c>
      <c r="E14" s="180"/>
      <c r="F14" s="181">
        <f t="shared" si="0"/>
        <v>13250</v>
      </c>
      <c r="G14" s="178"/>
      <c r="H14" s="180"/>
      <c r="I14" s="180">
        <f t="shared" si="1"/>
        <v>13250</v>
      </c>
      <c r="J14" s="204">
        <v>4250</v>
      </c>
      <c r="K14" s="206">
        <v>397.5</v>
      </c>
      <c r="L14" s="206">
        <v>300</v>
      </c>
      <c r="M14" s="206"/>
      <c r="N14" s="189">
        <v>147.16999999999999</v>
      </c>
      <c r="O14" s="183">
        <f>1333.33/2</f>
        <v>666.66499999999996</v>
      </c>
      <c r="P14" s="180">
        <v>1107.75</v>
      </c>
      <c r="Q14" s="180">
        <v>187.5</v>
      </c>
      <c r="R14" s="180"/>
      <c r="S14" s="180">
        <v>1000</v>
      </c>
      <c r="T14" s="180">
        <v>2691.67</v>
      </c>
      <c r="U14" s="180"/>
      <c r="V14" s="180"/>
      <c r="W14" s="180">
        <f t="shared" si="2"/>
        <v>5800.7550000000001</v>
      </c>
      <c r="X14" s="180">
        <f t="shared" si="3"/>
        <v>11699.244999999999</v>
      </c>
      <c r="AI14" s="194"/>
      <c r="AJ14" s="194"/>
      <c r="AK14" s="194"/>
      <c r="AL14" s="194"/>
      <c r="AM14" s="194"/>
      <c r="AN14" s="194"/>
      <c r="AO14" s="194"/>
      <c r="AP14" s="194"/>
      <c r="AQ14" s="194"/>
      <c r="AR14" s="210"/>
      <c r="AS14" s="194"/>
      <c r="AT14" s="194"/>
      <c r="AU14" s="194"/>
      <c r="AV14" s="194"/>
      <c r="AW14" s="194"/>
      <c r="AX14" s="194"/>
      <c r="AY14" s="194"/>
      <c r="AZ14" s="210"/>
      <c r="BA14" s="194"/>
      <c r="BB14" s="210"/>
      <c r="BC14" s="194"/>
    </row>
    <row r="15" spans="1:55">
      <c r="A15" s="178" t="s">
        <v>63</v>
      </c>
      <c r="B15" s="178" t="s">
        <v>64</v>
      </c>
      <c r="C15" s="179"/>
      <c r="D15" s="180">
        <v>11250</v>
      </c>
      <c r="E15" s="180"/>
      <c r="F15" s="181">
        <f t="shared" si="0"/>
        <v>11250</v>
      </c>
      <c r="G15" s="178"/>
      <c r="H15" s="180"/>
      <c r="I15" s="180">
        <f t="shared" si="1"/>
        <v>11250</v>
      </c>
      <c r="J15" s="204">
        <v>4250</v>
      </c>
      <c r="K15" s="206">
        <v>337.5</v>
      </c>
      <c r="L15" s="206">
        <v>300</v>
      </c>
      <c r="M15" s="206"/>
      <c r="N15" s="189">
        <v>147.16999999999999</v>
      </c>
      <c r="O15" s="189">
        <f>533.4/2</f>
        <v>266.7</v>
      </c>
      <c r="P15" s="180">
        <v>1107.75</v>
      </c>
      <c r="Q15" s="180">
        <v>187.5</v>
      </c>
      <c r="R15" s="180"/>
      <c r="S15" s="180">
        <v>500</v>
      </c>
      <c r="T15" s="180">
        <v>2250</v>
      </c>
      <c r="U15" s="180">
        <v>500</v>
      </c>
      <c r="V15" s="180"/>
      <c r="W15" s="180">
        <f t="shared" si="2"/>
        <v>4959.12</v>
      </c>
      <c r="X15" s="180">
        <f t="shared" si="3"/>
        <v>10540.880000000001</v>
      </c>
      <c r="AI15" s="194"/>
      <c r="AJ15" s="194"/>
      <c r="AK15" s="194"/>
      <c r="AL15" s="194"/>
      <c r="AM15" s="194"/>
      <c r="AN15" s="194"/>
      <c r="AO15" s="194"/>
      <c r="AP15" s="194"/>
      <c r="AQ15" s="194"/>
      <c r="AR15" s="210"/>
      <c r="AS15" s="194"/>
      <c r="AT15" s="194"/>
      <c r="AU15" s="194"/>
      <c r="AV15" s="194"/>
      <c r="AW15" s="194"/>
      <c r="AX15" s="194"/>
      <c r="AY15" s="194"/>
      <c r="AZ15" s="210"/>
      <c r="BA15" s="194"/>
      <c r="BB15" s="210"/>
      <c r="BC15" s="194"/>
    </row>
    <row r="16" spans="1:55">
      <c r="A16" s="178" t="s">
        <v>65</v>
      </c>
      <c r="B16" s="178" t="s">
        <v>66</v>
      </c>
      <c r="C16" s="179"/>
      <c r="D16" s="180">
        <v>12750</v>
      </c>
      <c r="E16" s="180"/>
      <c r="F16" s="181">
        <f t="shared" si="0"/>
        <v>12750</v>
      </c>
      <c r="G16" s="178"/>
      <c r="H16" s="180"/>
      <c r="I16" s="180">
        <f t="shared" si="1"/>
        <v>12750</v>
      </c>
      <c r="J16" s="204">
        <v>4250</v>
      </c>
      <c r="K16" s="206">
        <v>382.5</v>
      </c>
      <c r="L16" s="206">
        <v>500</v>
      </c>
      <c r="M16" s="206"/>
      <c r="N16" s="205">
        <v>147.16999999999999</v>
      </c>
      <c r="O16" s="183">
        <f>1133.33/2</f>
        <v>566.66499999999996</v>
      </c>
      <c r="P16" s="180">
        <v>250</v>
      </c>
      <c r="Q16" s="180"/>
      <c r="R16" s="180"/>
      <c r="S16" s="180">
        <v>1700</v>
      </c>
      <c r="T16" s="180"/>
      <c r="U16" s="180"/>
      <c r="V16" s="180"/>
      <c r="W16" s="180">
        <f t="shared" si="2"/>
        <v>2663.835</v>
      </c>
      <c r="X16" s="180">
        <f t="shared" si="3"/>
        <v>14336.165000000001</v>
      </c>
      <c r="Y16" s="212"/>
      <c r="Z16" s="194"/>
      <c r="AA16" s="194"/>
      <c r="AR16" s="170"/>
      <c r="AZ16" s="170"/>
      <c r="BB16" s="170"/>
    </row>
    <row r="17" spans="1:54">
      <c r="A17" s="178" t="s">
        <v>67</v>
      </c>
      <c r="B17" s="178" t="s">
        <v>68</v>
      </c>
      <c r="C17" s="179"/>
      <c r="D17" s="180">
        <v>11000</v>
      </c>
      <c r="E17" s="180"/>
      <c r="F17" s="181">
        <f t="shared" si="0"/>
        <v>11000</v>
      </c>
      <c r="G17" s="178"/>
      <c r="H17" s="180"/>
      <c r="I17" s="180">
        <f t="shared" si="1"/>
        <v>11000</v>
      </c>
      <c r="J17" s="204">
        <v>3500</v>
      </c>
      <c r="K17" s="180"/>
      <c r="L17" s="180"/>
      <c r="M17" s="180"/>
      <c r="N17" s="205">
        <v>147.16999999999999</v>
      </c>
      <c r="O17" s="183"/>
      <c r="P17" s="180">
        <v>1462.25</v>
      </c>
      <c r="Q17" s="180">
        <v>5000</v>
      </c>
      <c r="R17" s="180"/>
      <c r="S17" s="180">
        <v>500</v>
      </c>
      <c r="T17" s="180"/>
      <c r="U17" s="180">
        <v>1500</v>
      </c>
      <c r="V17" s="180"/>
      <c r="W17" s="180">
        <f t="shared" si="2"/>
        <v>8609.42</v>
      </c>
      <c r="X17" s="180">
        <f t="shared" si="3"/>
        <v>5890.58</v>
      </c>
      <c r="Y17" s="194"/>
      <c r="Z17" s="194"/>
      <c r="AA17" s="194"/>
      <c r="AR17" s="170"/>
      <c r="AZ17" s="170"/>
      <c r="BB17" s="170"/>
    </row>
    <row r="18" spans="1:54">
      <c r="A18" s="182" t="s">
        <v>69</v>
      </c>
      <c r="B18" s="178"/>
      <c r="C18" s="179"/>
      <c r="D18" s="180"/>
      <c r="E18" s="180"/>
      <c r="F18" s="178"/>
      <c r="G18" s="178"/>
      <c r="H18" s="180"/>
      <c r="I18" s="180"/>
      <c r="J18" s="204"/>
      <c r="K18" s="180"/>
      <c r="L18" s="180"/>
      <c r="M18" s="180"/>
      <c r="N18" s="178"/>
      <c r="O18" s="178"/>
      <c r="P18" s="180"/>
      <c r="Q18" s="180"/>
      <c r="R18" s="180"/>
      <c r="S18" s="180"/>
      <c r="T18" s="180"/>
      <c r="U18" s="180"/>
      <c r="V18" s="180"/>
      <c r="W18" s="180"/>
      <c r="X18" s="180">
        <f t="shared" si="3"/>
        <v>0</v>
      </c>
      <c r="Y18" s="194"/>
      <c r="Z18" s="194"/>
      <c r="AA18" s="194"/>
      <c r="AR18" s="170"/>
      <c r="AZ18" s="170"/>
      <c r="BB18" s="170"/>
    </row>
    <row r="19" spans="1:54">
      <c r="A19" s="178" t="s">
        <v>70</v>
      </c>
      <c r="B19" s="178" t="s">
        <v>71</v>
      </c>
      <c r="C19" s="179"/>
      <c r="D19" s="180">
        <v>9000</v>
      </c>
      <c r="E19" s="180">
        <v>1384.64</v>
      </c>
      <c r="F19" s="183">
        <f t="shared" ref="F19:F32" si="4">D19-E19</f>
        <v>7615.36</v>
      </c>
      <c r="G19" s="183"/>
      <c r="H19" s="180"/>
      <c r="I19" s="180">
        <f t="shared" ref="I19:I33" si="5">F19+G19+H19</f>
        <v>7615.36</v>
      </c>
      <c r="J19" s="204"/>
      <c r="K19" s="206">
        <v>225</v>
      </c>
      <c r="L19" s="206">
        <v>100</v>
      </c>
      <c r="M19" s="206"/>
      <c r="N19" s="180">
        <v>109.23</v>
      </c>
      <c r="O19" s="180"/>
      <c r="P19" s="180"/>
      <c r="Q19" s="180"/>
      <c r="R19" s="180"/>
      <c r="S19" s="180"/>
      <c r="T19" s="180">
        <v>2500</v>
      </c>
      <c r="U19" s="180">
        <v>1000</v>
      </c>
      <c r="V19" s="180"/>
      <c r="W19" s="180">
        <f t="shared" ref="W19:W29" si="6">SUM(M19:U19)</f>
        <v>3609.23</v>
      </c>
      <c r="X19" s="180">
        <f t="shared" ref="X19:X32" si="7">(I19+J19)-W19</f>
        <v>4006.1299999999997</v>
      </c>
      <c r="Y19" s="211"/>
      <c r="AR19" s="170"/>
      <c r="AZ19" s="170"/>
      <c r="BB19" s="170"/>
    </row>
    <row r="20" spans="1:54">
      <c r="A20" s="178" t="s">
        <v>72</v>
      </c>
      <c r="B20" s="178" t="s">
        <v>73</v>
      </c>
      <c r="C20" s="184"/>
      <c r="D20" s="180">
        <v>8099.84</v>
      </c>
      <c r="E20" s="180">
        <v>103.66</v>
      </c>
      <c r="F20" s="183">
        <f t="shared" si="4"/>
        <v>7996.18</v>
      </c>
      <c r="G20" s="183"/>
      <c r="H20" s="180"/>
      <c r="I20" s="180">
        <f t="shared" si="5"/>
        <v>7996.18</v>
      </c>
      <c r="J20" s="204"/>
      <c r="K20" s="206">
        <v>225.64</v>
      </c>
      <c r="L20" s="206">
        <v>100</v>
      </c>
      <c r="M20" s="206"/>
      <c r="N20" s="180">
        <v>71.290000000000006</v>
      </c>
      <c r="O20" s="180"/>
      <c r="P20" s="180"/>
      <c r="Q20" s="180"/>
      <c r="R20" s="180"/>
      <c r="S20" s="180"/>
      <c r="T20" s="180">
        <v>1510</v>
      </c>
      <c r="U20" s="180">
        <v>1000</v>
      </c>
      <c r="V20" s="180"/>
      <c r="W20" s="180">
        <f t="shared" si="6"/>
        <v>2581.29</v>
      </c>
      <c r="X20" s="180">
        <f t="shared" si="7"/>
        <v>5414.89</v>
      </c>
      <c r="Y20" s="211"/>
      <c r="AR20" s="170"/>
      <c r="AZ20" s="170"/>
      <c r="BB20" s="170"/>
    </row>
    <row r="21" spans="1:54">
      <c r="A21" s="178" t="s">
        <v>74</v>
      </c>
      <c r="B21" s="178" t="s">
        <v>75</v>
      </c>
      <c r="C21" s="184"/>
      <c r="D21" s="180">
        <v>8099.84</v>
      </c>
      <c r="E21" s="180"/>
      <c r="F21" s="183">
        <f t="shared" si="4"/>
        <v>8099.84</v>
      </c>
      <c r="G21" s="178"/>
      <c r="H21" s="180"/>
      <c r="I21" s="180">
        <f t="shared" si="5"/>
        <v>8099.84</v>
      </c>
      <c r="J21" s="204"/>
      <c r="K21" s="206">
        <v>225.64</v>
      </c>
      <c r="L21" s="206">
        <v>100</v>
      </c>
      <c r="M21" s="206"/>
      <c r="N21" s="180">
        <v>71.290000000000006</v>
      </c>
      <c r="O21" s="180"/>
      <c r="P21" s="180"/>
      <c r="Q21" s="180"/>
      <c r="R21" s="180"/>
      <c r="S21" s="180"/>
      <c r="T21" s="180">
        <v>1350</v>
      </c>
      <c r="U21" s="180"/>
      <c r="V21" s="180"/>
      <c r="W21" s="180">
        <f t="shared" si="6"/>
        <v>1421.29</v>
      </c>
      <c r="X21" s="180">
        <f t="shared" si="7"/>
        <v>6678.55</v>
      </c>
      <c r="Y21" s="211"/>
      <c r="AR21" s="170"/>
      <c r="AZ21" s="170"/>
      <c r="BB21" s="170"/>
    </row>
    <row r="22" spans="1:54">
      <c r="A22" s="178" t="s">
        <v>76</v>
      </c>
      <c r="B22" s="178" t="s">
        <v>75</v>
      </c>
      <c r="C22" s="185"/>
      <c r="D22" s="180">
        <v>8099.84</v>
      </c>
      <c r="E22" s="180">
        <v>253.12</v>
      </c>
      <c r="F22" s="183">
        <f t="shared" si="4"/>
        <v>7846.72</v>
      </c>
      <c r="G22" s="183"/>
      <c r="H22" s="180"/>
      <c r="I22" s="180">
        <f t="shared" si="5"/>
        <v>7846.72</v>
      </c>
      <c r="J22" s="204"/>
      <c r="K22" s="206">
        <v>225.64</v>
      </c>
      <c r="L22" s="206">
        <v>100</v>
      </c>
      <c r="M22" s="206"/>
      <c r="N22" s="180">
        <v>71.290000000000006</v>
      </c>
      <c r="O22" s="180"/>
      <c r="P22" s="180"/>
      <c r="Q22" s="180"/>
      <c r="R22" s="180"/>
      <c r="S22" s="180"/>
      <c r="T22" s="180"/>
      <c r="U22" s="180">
        <v>1000</v>
      </c>
      <c r="V22" s="180"/>
      <c r="W22" s="180">
        <f t="shared" si="6"/>
        <v>1071.29</v>
      </c>
      <c r="X22" s="180">
        <f t="shared" si="7"/>
        <v>6775.43</v>
      </c>
      <c r="Y22" s="211"/>
      <c r="AR22" s="170"/>
      <c r="AZ22" s="170"/>
      <c r="BB22" s="170"/>
    </row>
    <row r="23" spans="1:54">
      <c r="A23" s="178" t="s">
        <v>77</v>
      </c>
      <c r="B23" s="178" t="s">
        <v>75</v>
      </c>
      <c r="C23" s="184"/>
      <c r="D23" s="180">
        <v>8099.84</v>
      </c>
      <c r="E23" s="180">
        <v>335.08</v>
      </c>
      <c r="F23" s="183">
        <f t="shared" si="4"/>
        <v>7764.76</v>
      </c>
      <c r="G23" s="178"/>
      <c r="H23" s="180"/>
      <c r="I23" s="180">
        <f t="shared" si="5"/>
        <v>7764.76</v>
      </c>
      <c r="J23" s="204"/>
      <c r="K23" s="206">
        <v>225.64</v>
      </c>
      <c r="L23" s="206">
        <v>100</v>
      </c>
      <c r="M23" s="206"/>
      <c r="N23" s="180">
        <v>71.290000000000006</v>
      </c>
      <c r="O23" s="180"/>
      <c r="P23" s="180"/>
      <c r="Q23" s="180"/>
      <c r="R23" s="180"/>
      <c r="S23" s="180"/>
      <c r="T23" s="180"/>
      <c r="U23" s="180"/>
      <c r="V23" s="180"/>
      <c r="W23" s="180">
        <f t="shared" si="6"/>
        <v>71.290000000000006</v>
      </c>
      <c r="X23" s="180">
        <f t="shared" si="7"/>
        <v>7693.47</v>
      </c>
      <c r="Y23" s="211"/>
      <c r="AR23" s="170"/>
      <c r="AZ23" s="170"/>
      <c r="BB23" s="170"/>
    </row>
    <row r="24" spans="1:54">
      <c r="A24" s="178" t="s">
        <v>78</v>
      </c>
      <c r="B24" s="178" t="s">
        <v>79</v>
      </c>
      <c r="C24" s="184"/>
      <c r="D24" s="180">
        <v>10250</v>
      </c>
      <c r="E24" s="180"/>
      <c r="F24" s="183">
        <f t="shared" si="4"/>
        <v>10250</v>
      </c>
      <c r="G24" s="178"/>
      <c r="H24" s="180"/>
      <c r="I24" s="180">
        <f t="shared" si="5"/>
        <v>10250</v>
      </c>
      <c r="J24" s="204"/>
      <c r="K24" s="206">
        <v>307.5</v>
      </c>
      <c r="L24" s="206">
        <v>100</v>
      </c>
      <c r="M24" s="206"/>
      <c r="N24" s="180">
        <v>109.23</v>
      </c>
      <c r="O24" s="180"/>
      <c r="P24" s="180"/>
      <c r="Q24" s="180"/>
      <c r="R24" s="180"/>
      <c r="S24" s="180">
        <v>830</v>
      </c>
      <c r="T24" s="180">
        <v>1311.94</v>
      </c>
      <c r="U24" s="180"/>
      <c r="V24" s="180"/>
      <c r="W24" s="180">
        <f t="shared" si="6"/>
        <v>2251.17</v>
      </c>
      <c r="X24" s="180">
        <f t="shared" si="7"/>
        <v>7998.83</v>
      </c>
      <c r="Y24" s="211"/>
      <c r="AR24" s="170"/>
      <c r="AZ24" s="170"/>
      <c r="BB24" s="170"/>
    </row>
    <row r="25" spans="1:54">
      <c r="A25" s="178" t="s">
        <v>80</v>
      </c>
      <c r="B25" s="178" t="s">
        <v>81</v>
      </c>
      <c r="C25" s="184"/>
      <c r="D25" s="180">
        <v>8076.92</v>
      </c>
      <c r="E25" s="180">
        <v>843.75</v>
      </c>
      <c r="F25" s="186">
        <f t="shared" si="4"/>
        <v>7233.17</v>
      </c>
      <c r="G25" s="183">
        <v>540.87</v>
      </c>
      <c r="H25" s="180"/>
      <c r="I25" s="180">
        <f t="shared" si="5"/>
        <v>7774.04</v>
      </c>
      <c r="J25" s="204"/>
      <c r="K25" s="206">
        <v>180</v>
      </c>
      <c r="L25" s="206">
        <v>100</v>
      </c>
      <c r="M25" s="206"/>
      <c r="N25" s="180">
        <v>142.58000000000001</v>
      </c>
      <c r="O25" s="180"/>
      <c r="P25" s="180"/>
      <c r="Q25" s="180"/>
      <c r="R25" s="180"/>
      <c r="S25" s="180"/>
      <c r="T25" s="180">
        <v>833.33</v>
      </c>
      <c r="U25" s="180">
        <v>1000</v>
      </c>
      <c r="V25" s="180"/>
      <c r="W25" s="180">
        <f t="shared" si="6"/>
        <v>1975.91</v>
      </c>
      <c r="X25" s="180">
        <f t="shared" si="7"/>
        <v>5798.13</v>
      </c>
      <c r="Y25" s="211"/>
      <c r="AR25" s="170"/>
      <c r="AZ25" s="170"/>
      <c r="BB25" s="170"/>
    </row>
    <row r="26" spans="1:54">
      <c r="A26" s="178" t="s">
        <v>82</v>
      </c>
      <c r="B26" s="178" t="s">
        <v>83</v>
      </c>
      <c r="C26" s="187"/>
      <c r="D26" s="180">
        <v>6461.28</v>
      </c>
      <c r="E26" s="180">
        <v>1396.1</v>
      </c>
      <c r="F26" s="180">
        <f t="shared" si="4"/>
        <v>5065.18</v>
      </c>
      <c r="G26" s="180"/>
      <c r="H26" s="180"/>
      <c r="I26" s="180">
        <f t="shared" si="5"/>
        <v>5065.18</v>
      </c>
      <c r="J26" s="204"/>
      <c r="K26" s="206"/>
      <c r="L26" s="206"/>
      <c r="M26" s="206"/>
      <c r="N26" s="180">
        <v>285.16000000000003</v>
      </c>
      <c r="O26" s="180"/>
      <c r="P26" s="180"/>
      <c r="Q26" s="180"/>
      <c r="R26" s="180"/>
      <c r="S26" s="180"/>
      <c r="T26" s="180"/>
      <c r="U26" s="180"/>
      <c r="V26" s="180"/>
      <c r="W26" s="180">
        <f t="shared" si="6"/>
        <v>285.16000000000003</v>
      </c>
      <c r="X26" s="180">
        <f t="shared" si="7"/>
        <v>4780.0200000000004</v>
      </c>
      <c r="Y26" s="211"/>
      <c r="AR26" s="170"/>
      <c r="AZ26" s="170"/>
      <c r="BB26" s="170"/>
    </row>
    <row r="27" spans="1:54">
      <c r="A27" s="178" t="s">
        <v>84</v>
      </c>
      <c r="B27" s="178" t="s">
        <v>75</v>
      </c>
      <c r="C27" s="184">
        <f>ADELANTAR!J33</f>
        <v>106.38333333333333</v>
      </c>
      <c r="D27" s="180">
        <v>6000</v>
      </c>
      <c r="E27" s="180">
        <v>1846.08</v>
      </c>
      <c r="F27" s="183">
        <f t="shared" si="4"/>
        <v>4153.92</v>
      </c>
      <c r="G27" s="183">
        <v>144.22999999999999</v>
      </c>
      <c r="H27" s="180"/>
      <c r="I27" s="180">
        <f t="shared" si="5"/>
        <v>4298.1499999999996</v>
      </c>
      <c r="J27" s="204"/>
      <c r="K27" s="206">
        <v>180</v>
      </c>
      <c r="L27" s="206">
        <v>100</v>
      </c>
      <c r="M27" s="206"/>
      <c r="N27" s="180">
        <v>285.16000000000003</v>
      </c>
      <c r="O27" s="180"/>
      <c r="P27" s="180"/>
      <c r="Q27" s="180"/>
      <c r="R27" s="180"/>
      <c r="S27" s="180"/>
      <c r="T27" s="180">
        <v>1670</v>
      </c>
      <c r="U27" s="180"/>
      <c r="V27" s="180"/>
      <c r="W27" s="180">
        <f t="shared" si="6"/>
        <v>1955.16</v>
      </c>
      <c r="X27" s="180">
        <f t="shared" si="7"/>
        <v>2342.9899999999998</v>
      </c>
      <c r="Y27" s="211"/>
      <c r="AR27" s="170"/>
      <c r="AZ27" s="170"/>
      <c r="BB27" s="170"/>
    </row>
    <row r="28" spans="1:54">
      <c r="A28" s="178" t="s">
        <v>85</v>
      </c>
      <c r="B28" s="178" t="s">
        <v>86</v>
      </c>
      <c r="C28" s="184"/>
      <c r="D28" s="180">
        <v>6461.54</v>
      </c>
      <c r="E28" s="180">
        <v>230.77</v>
      </c>
      <c r="F28" s="180">
        <f t="shared" si="4"/>
        <v>6230.7699999999995</v>
      </c>
      <c r="G28" s="183"/>
      <c r="H28" s="180"/>
      <c r="I28" s="180">
        <f t="shared" si="5"/>
        <v>6230.7699999999995</v>
      </c>
      <c r="J28" s="204"/>
      <c r="K28" s="206">
        <v>180</v>
      </c>
      <c r="L28" s="206">
        <v>100</v>
      </c>
      <c r="M28" s="206"/>
      <c r="N28" s="180">
        <v>171.1</v>
      </c>
      <c r="O28" s="180"/>
      <c r="P28" s="180"/>
      <c r="Q28" s="180"/>
      <c r="R28" s="180"/>
      <c r="S28" s="180"/>
      <c r="T28" s="180"/>
      <c r="U28" s="180">
        <v>1000</v>
      </c>
      <c r="V28" s="180"/>
      <c r="W28" s="180">
        <f t="shared" si="6"/>
        <v>1171.0999999999999</v>
      </c>
      <c r="X28" s="180">
        <f t="shared" si="7"/>
        <v>5059.67</v>
      </c>
      <c r="Y28" s="211"/>
      <c r="AR28" s="170"/>
      <c r="AZ28" s="170"/>
      <c r="BB28" s="170"/>
    </row>
    <row r="29" spans="1:54">
      <c r="A29" s="178" t="s">
        <v>87</v>
      </c>
      <c r="B29" s="178" t="s">
        <v>88</v>
      </c>
      <c r="C29" s="184"/>
      <c r="D29" s="180">
        <v>4380</v>
      </c>
      <c r="E29" s="180">
        <v>377.17</v>
      </c>
      <c r="F29" s="180">
        <f t="shared" si="4"/>
        <v>4002.83</v>
      </c>
      <c r="G29" s="183">
        <f>399.22+231.34</f>
        <v>630.56000000000006</v>
      </c>
      <c r="H29" s="180"/>
      <c r="I29" s="180">
        <f t="shared" si="5"/>
        <v>4633.3900000000003</v>
      </c>
      <c r="J29" s="204"/>
      <c r="K29" s="206"/>
      <c r="L29" s="206"/>
      <c r="M29" s="206"/>
      <c r="N29" s="180"/>
      <c r="O29" s="180"/>
      <c r="P29" s="180"/>
      <c r="Q29" s="180"/>
      <c r="R29" s="180"/>
      <c r="S29" s="180"/>
      <c r="T29" s="180"/>
      <c r="U29" s="180"/>
      <c r="V29" s="180"/>
      <c r="W29" s="180">
        <f t="shared" si="6"/>
        <v>0</v>
      </c>
      <c r="X29" s="180">
        <f t="shared" si="7"/>
        <v>4633.3900000000003</v>
      </c>
      <c r="Y29" s="211"/>
      <c r="AR29" s="170"/>
      <c r="AZ29" s="170"/>
      <c r="BB29" s="170"/>
    </row>
    <row r="30" spans="1:54">
      <c r="A30" s="188" t="s">
        <v>89</v>
      </c>
      <c r="B30" s="178"/>
      <c r="C30" s="179"/>
      <c r="D30" s="180"/>
      <c r="E30" s="180"/>
      <c r="F30" s="183">
        <f t="shared" si="4"/>
        <v>0</v>
      </c>
      <c r="G30" s="178"/>
      <c r="H30" s="180"/>
      <c r="I30" s="180">
        <f t="shared" si="5"/>
        <v>0</v>
      </c>
      <c r="J30" s="204"/>
      <c r="K30" s="206"/>
      <c r="L30" s="206"/>
      <c r="M30" s="206"/>
      <c r="N30" s="178"/>
      <c r="O30" s="178"/>
      <c r="P30" s="180"/>
      <c r="Q30" s="180"/>
      <c r="R30" s="180"/>
      <c r="S30" s="180"/>
      <c r="T30" s="180"/>
      <c r="U30" s="180"/>
      <c r="V30" s="180"/>
      <c r="W30" s="180"/>
      <c r="X30" s="180">
        <f t="shared" si="7"/>
        <v>0</v>
      </c>
      <c r="Y30" s="211"/>
    </row>
    <row r="31" spans="1:54">
      <c r="A31" s="178" t="s">
        <v>90</v>
      </c>
      <c r="B31" s="178" t="s">
        <v>91</v>
      </c>
      <c r="C31" s="184"/>
      <c r="D31" s="180">
        <v>8615.3799999999992</v>
      </c>
      <c r="E31" s="180">
        <v>907.7</v>
      </c>
      <c r="F31" s="183">
        <f t="shared" si="4"/>
        <v>7707.6799999999994</v>
      </c>
      <c r="G31" s="183"/>
      <c r="H31" s="180"/>
      <c r="I31" s="180">
        <f t="shared" si="5"/>
        <v>7707.6799999999994</v>
      </c>
      <c r="J31" s="204"/>
      <c r="K31" s="206">
        <v>240</v>
      </c>
      <c r="L31" s="206">
        <v>500</v>
      </c>
      <c r="M31" s="206"/>
      <c r="N31" s="180">
        <v>147.16999999999999</v>
      </c>
      <c r="O31" s="180"/>
      <c r="P31" s="180"/>
      <c r="Q31" s="180"/>
      <c r="R31" s="180">
        <v>500</v>
      </c>
      <c r="S31" s="180"/>
      <c r="T31" s="180">
        <v>1600</v>
      </c>
      <c r="U31" s="180">
        <v>1500</v>
      </c>
      <c r="V31" s="180"/>
      <c r="W31" s="180">
        <f t="shared" ref="W31:W39" si="8">SUM(M31:U31)</f>
        <v>3747.17</v>
      </c>
      <c r="X31" s="180">
        <f t="shared" si="7"/>
        <v>3960.5099999999993</v>
      </c>
      <c r="Y31" s="211"/>
    </row>
    <row r="32" spans="1:54">
      <c r="A32" s="178" t="s">
        <v>92</v>
      </c>
      <c r="B32" s="178" t="s">
        <v>93</v>
      </c>
      <c r="C32" s="184"/>
      <c r="D32" s="180">
        <v>9250</v>
      </c>
      <c r="E32" s="180"/>
      <c r="F32" s="183">
        <f t="shared" si="4"/>
        <v>9250</v>
      </c>
      <c r="G32" s="178"/>
      <c r="H32" s="180"/>
      <c r="I32" s="180">
        <f t="shared" si="5"/>
        <v>9250</v>
      </c>
      <c r="J32" s="204"/>
      <c r="K32" s="206">
        <v>277.5</v>
      </c>
      <c r="L32" s="206">
        <v>100</v>
      </c>
      <c r="M32" s="206"/>
      <c r="N32" s="180">
        <v>109.23</v>
      </c>
      <c r="O32" s="180"/>
      <c r="P32" s="180"/>
      <c r="Q32" s="180"/>
      <c r="R32" s="180"/>
      <c r="S32" s="180">
        <v>500</v>
      </c>
      <c r="T32" s="180">
        <v>1500</v>
      </c>
      <c r="U32" s="180">
        <v>1000</v>
      </c>
      <c r="V32" s="180"/>
      <c r="W32" s="180">
        <f t="shared" si="8"/>
        <v>3109.23</v>
      </c>
      <c r="X32" s="180">
        <f t="shared" si="7"/>
        <v>6140.77</v>
      </c>
      <c r="Y32" s="211"/>
    </row>
    <row r="33" spans="1:25">
      <c r="A33" s="178" t="s">
        <v>150</v>
      </c>
      <c r="B33" s="178" t="s">
        <v>151</v>
      </c>
      <c r="C33" s="184"/>
      <c r="D33" s="189" t="s">
        <v>170</v>
      </c>
      <c r="E33" s="180"/>
      <c r="F33" s="183"/>
      <c r="G33" s="178"/>
      <c r="H33" s="180"/>
      <c r="I33" s="180">
        <f t="shared" si="5"/>
        <v>0</v>
      </c>
      <c r="J33" s="207"/>
      <c r="K33" s="180"/>
      <c r="L33" s="178"/>
      <c r="M33" s="206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>
        <v>3000</v>
      </c>
      <c r="Y33" s="211"/>
    </row>
    <row r="34" spans="1:25">
      <c r="A34" s="178" t="s">
        <v>152</v>
      </c>
      <c r="B34" s="178" t="s">
        <v>153</v>
      </c>
      <c r="C34" s="184"/>
      <c r="D34" s="189" t="s">
        <v>170</v>
      </c>
      <c r="E34" s="180"/>
      <c r="F34" s="183"/>
      <c r="G34" s="178"/>
      <c r="H34" s="180"/>
      <c r="I34" s="180"/>
      <c r="J34" s="207"/>
      <c r="K34" s="180"/>
      <c r="L34" s="178"/>
      <c r="M34" s="206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>
        <v>5000</v>
      </c>
      <c r="Y34" s="211"/>
    </row>
    <row r="35" spans="1:25">
      <c r="A35" s="178" t="s">
        <v>154</v>
      </c>
      <c r="B35" s="178" t="s">
        <v>155</v>
      </c>
      <c r="C35" s="184"/>
      <c r="D35" s="189" t="s">
        <v>170</v>
      </c>
      <c r="E35" s="180"/>
      <c r="F35" s="183"/>
      <c r="G35" s="178"/>
      <c r="H35" s="180"/>
      <c r="I35" s="180"/>
      <c r="J35" s="207"/>
      <c r="K35" s="180"/>
      <c r="L35" s="178"/>
      <c r="M35" s="206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>
        <v>3000</v>
      </c>
      <c r="Y35" s="211"/>
    </row>
    <row r="36" spans="1:25">
      <c r="A36" s="178" t="s">
        <v>94</v>
      </c>
      <c r="B36" s="178" t="s">
        <v>95</v>
      </c>
      <c r="C36" s="190"/>
      <c r="D36" s="183">
        <v>7500</v>
      </c>
      <c r="E36" s="180"/>
      <c r="F36" s="183">
        <f t="shared" ref="F36:F44" si="9">D36-E36</f>
        <v>7500</v>
      </c>
      <c r="G36" s="178"/>
      <c r="H36" s="183"/>
      <c r="I36" s="180">
        <f t="shared" ref="I36:I44" si="10">F36+G36+H36</f>
        <v>7500</v>
      </c>
      <c r="J36" s="207">
        <v>2000</v>
      </c>
      <c r="K36" s="180">
        <v>225</v>
      </c>
      <c r="L36" s="180"/>
      <c r="M36" s="180"/>
      <c r="N36" s="180">
        <v>109.23</v>
      </c>
      <c r="O36" s="178"/>
      <c r="P36" s="180"/>
      <c r="Q36" s="180"/>
      <c r="R36" s="180"/>
      <c r="S36" s="180"/>
      <c r="T36" s="180">
        <v>3125</v>
      </c>
      <c r="U36" s="180">
        <v>500</v>
      </c>
      <c r="V36" s="180"/>
      <c r="W36" s="180">
        <f t="shared" si="8"/>
        <v>3734.23</v>
      </c>
      <c r="X36" s="180">
        <f t="shared" ref="X36:X44" si="11">(I36+J36)-W36</f>
        <v>5765.77</v>
      </c>
      <c r="Y36" s="211"/>
    </row>
    <row r="37" spans="1:25">
      <c r="A37" s="178" t="s">
        <v>96</v>
      </c>
      <c r="B37" s="178" t="s">
        <v>97</v>
      </c>
      <c r="C37" s="184"/>
      <c r="D37" s="183">
        <v>7500</v>
      </c>
      <c r="E37" s="180"/>
      <c r="F37" s="183">
        <f t="shared" si="9"/>
        <v>7500</v>
      </c>
      <c r="G37" s="178"/>
      <c r="H37" s="183"/>
      <c r="I37" s="180">
        <f t="shared" si="10"/>
        <v>7500</v>
      </c>
      <c r="J37" s="207">
        <v>1000</v>
      </c>
      <c r="K37" s="180">
        <v>225</v>
      </c>
      <c r="L37" s="180">
        <v>100</v>
      </c>
      <c r="M37" s="180"/>
      <c r="N37" s="180">
        <v>142.58000000000001</v>
      </c>
      <c r="O37" s="178"/>
      <c r="P37" s="180"/>
      <c r="Q37" s="180"/>
      <c r="R37" s="180"/>
      <c r="S37" s="180"/>
      <c r="T37" s="180">
        <v>1666.63</v>
      </c>
      <c r="U37" s="180">
        <v>1000</v>
      </c>
      <c r="V37" s="180"/>
      <c r="W37" s="180">
        <f t="shared" si="8"/>
        <v>2809.21</v>
      </c>
      <c r="X37" s="180">
        <f t="shared" si="11"/>
        <v>5690.79</v>
      </c>
    </row>
    <row r="38" spans="1:25">
      <c r="A38" s="178" t="s">
        <v>98</v>
      </c>
      <c r="B38" s="178" t="s">
        <v>99</v>
      </c>
      <c r="C38" s="184"/>
      <c r="D38" s="183">
        <v>7500</v>
      </c>
      <c r="E38" s="180"/>
      <c r="F38" s="183">
        <f t="shared" si="9"/>
        <v>7500</v>
      </c>
      <c r="G38" s="178"/>
      <c r="H38" s="183"/>
      <c r="I38" s="180">
        <f t="shared" si="10"/>
        <v>7500</v>
      </c>
      <c r="J38" s="207"/>
      <c r="K38" s="180">
        <v>225</v>
      </c>
      <c r="L38" s="180">
        <v>100</v>
      </c>
      <c r="M38" s="180"/>
      <c r="N38" s="180">
        <v>71.290000000000006</v>
      </c>
      <c r="O38" s="178"/>
      <c r="P38" s="180"/>
      <c r="Q38" s="180"/>
      <c r="R38" s="180"/>
      <c r="S38" s="180">
        <v>1000</v>
      </c>
      <c r="T38" s="180">
        <v>2500</v>
      </c>
      <c r="U38" s="180">
        <v>500</v>
      </c>
      <c r="V38" s="180"/>
      <c r="W38" s="180">
        <f t="shared" si="8"/>
        <v>4071.29</v>
      </c>
      <c r="X38" s="180">
        <f t="shared" si="11"/>
        <v>3428.71</v>
      </c>
    </row>
    <row r="39" spans="1:25">
      <c r="A39" s="178" t="s">
        <v>100</v>
      </c>
      <c r="B39" s="178" t="s">
        <v>101</v>
      </c>
      <c r="C39" s="184"/>
      <c r="D39" s="180">
        <v>5384.62</v>
      </c>
      <c r="E39" s="180"/>
      <c r="F39" s="183">
        <f t="shared" si="9"/>
        <v>5384.62</v>
      </c>
      <c r="G39" s="178"/>
      <c r="H39" s="180"/>
      <c r="I39" s="180">
        <f t="shared" si="10"/>
        <v>5384.62</v>
      </c>
      <c r="J39" s="207"/>
      <c r="K39" s="180">
        <v>150</v>
      </c>
      <c r="L39" s="180">
        <v>100</v>
      </c>
      <c r="M39" s="180"/>
      <c r="N39" s="178"/>
      <c r="O39" s="178"/>
      <c r="P39" s="180"/>
      <c r="Q39" s="180"/>
      <c r="R39" s="180"/>
      <c r="S39" s="180"/>
      <c r="T39" s="180"/>
      <c r="U39" s="180"/>
      <c r="V39" s="180"/>
      <c r="W39" s="180">
        <f t="shared" si="8"/>
        <v>0</v>
      </c>
      <c r="X39" s="180">
        <f t="shared" si="11"/>
        <v>5384.62</v>
      </c>
    </row>
    <row r="40" spans="1:25" ht="12" customHeight="1">
      <c r="A40" s="188" t="s">
        <v>102</v>
      </c>
      <c r="B40" s="178"/>
      <c r="C40" s="179"/>
      <c r="D40" s="183"/>
      <c r="E40" s="180"/>
      <c r="F40" s="183">
        <f t="shared" si="9"/>
        <v>0</v>
      </c>
      <c r="G40" s="178"/>
      <c r="H40" s="183"/>
      <c r="I40" s="180">
        <f t="shared" si="10"/>
        <v>0</v>
      </c>
      <c r="J40" s="204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>
        <f t="shared" si="11"/>
        <v>0</v>
      </c>
      <c r="Y40" s="211"/>
    </row>
    <row r="41" spans="1:25">
      <c r="A41" s="178" t="s">
        <v>103</v>
      </c>
      <c r="B41" s="178" t="s">
        <v>104</v>
      </c>
      <c r="C41" s="184"/>
      <c r="D41" s="180">
        <v>8615.3799999999992</v>
      </c>
      <c r="E41" s="180"/>
      <c r="F41" s="183">
        <f t="shared" si="9"/>
        <v>8615.3799999999992</v>
      </c>
      <c r="G41" s="183"/>
      <c r="H41" s="180"/>
      <c r="I41" s="180">
        <f t="shared" si="10"/>
        <v>8615.3799999999992</v>
      </c>
      <c r="J41" s="204"/>
      <c r="K41" s="180">
        <v>240</v>
      </c>
      <c r="L41" s="180">
        <v>100</v>
      </c>
      <c r="M41" s="180"/>
      <c r="N41" s="180">
        <v>71.290000000000006</v>
      </c>
      <c r="O41" s="180"/>
      <c r="P41" s="180"/>
      <c r="Q41" s="180">
        <v>292</v>
      </c>
      <c r="R41" s="180"/>
      <c r="S41" s="180"/>
      <c r="T41" s="180"/>
      <c r="U41" s="180">
        <v>1000</v>
      </c>
      <c r="V41" s="180"/>
      <c r="W41" s="180">
        <f t="shared" ref="W41:W43" si="12">SUM(M41:U41)</f>
        <v>1363.29</v>
      </c>
      <c r="X41" s="180">
        <f t="shared" si="11"/>
        <v>7252.0899999999992</v>
      </c>
      <c r="Y41" s="211"/>
    </row>
    <row r="42" spans="1:25">
      <c r="A42" s="178" t="s">
        <v>105</v>
      </c>
      <c r="B42" s="178" t="s">
        <v>106</v>
      </c>
      <c r="C42" s="191"/>
      <c r="D42" s="180">
        <v>8500</v>
      </c>
      <c r="E42" s="180"/>
      <c r="F42" s="183">
        <f t="shared" si="9"/>
        <v>8500</v>
      </c>
      <c r="G42" s="178"/>
      <c r="H42" s="180"/>
      <c r="I42" s="180">
        <f t="shared" si="10"/>
        <v>8500</v>
      </c>
      <c r="J42" s="204"/>
      <c r="K42" s="180">
        <v>255</v>
      </c>
      <c r="L42" s="180">
        <v>100</v>
      </c>
      <c r="M42" s="180"/>
      <c r="N42" s="180">
        <v>71.290000000000006</v>
      </c>
      <c r="O42" s="180"/>
      <c r="P42" s="180"/>
      <c r="Q42" s="180">
        <v>292</v>
      </c>
      <c r="R42" s="180"/>
      <c r="S42" s="180">
        <v>1000</v>
      </c>
      <c r="T42" s="180">
        <v>1500</v>
      </c>
      <c r="U42" s="180">
        <v>500</v>
      </c>
      <c r="V42" s="180"/>
      <c r="W42" s="180">
        <f t="shared" si="12"/>
        <v>3363.29</v>
      </c>
      <c r="X42" s="180">
        <f t="shared" si="11"/>
        <v>5136.71</v>
      </c>
      <c r="Y42" s="211"/>
    </row>
    <row r="43" spans="1:25">
      <c r="A43" s="178" t="s">
        <v>107</v>
      </c>
      <c r="B43" s="178" t="s">
        <v>108</v>
      </c>
      <c r="C43" s="184"/>
      <c r="D43" s="180">
        <v>7277.5</v>
      </c>
      <c r="E43" s="180">
        <v>520.9</v>
      </c>
      <c r="F43" s="183">
        <f t="shared" si="9"/>
        <v>6756.6</v>
      </c>
      <c r="G43" s="183"/>
      <c r="H43" s="180"/>
      <c r="I43" s="180">
        <f t="shared" si="10"/>
        <v>6756.6</v>
      </c>
      <c r="J43" s="204"/>
      <c r="K43" s="180">
        <v>180</v>
      </c>
      <c r="L43" s="180">
        <v>100</v>
      </c>
      <c r="M43" s="180"/>
      <c r="N43" s="180">
        <v>142.58000000000001</v>
      </c>
      <c r="O43" s="180"/>
      <c r="P43" s="180"/>
      <c r="Q43" s="180"/>
      <c r="R43" s="180"/>
      <c r="S43" s="180"/>
      <c r="T43" s="180"/>
      <c r="U43" s="180">
        <v>1000</v>
      </c>
      <c r="V43" s="180"/>
      <c r="W43" s="180">
        <f t="shared" si="12"/>
        <v>1142.58</v>
      </c>
      <c r="X43" s="180">
        <f t="shared" si="11"/>
        <v>5614.02</v>
      </c>
      <c r="Y43" s="211"/>
    </row>
    <row r="44" spans="1:25">
      <c r="A44" s="188" t="s">
        <v>109</v>
      </c>
      <c r="B44" s="178"/>
      <c r="C44" s="179"/>
      <c r="D44" s="180"/>
      <c r="E44" s="180"/>
      <c r="F44" s="183">
        <f t="shared" si="9"/>
        <v>0</v>
      </c>
      <c r="G44" s="178"/>
      <c r="H44" s="180"/>
      <c r="I44" s="180">
        <f t="shared" si="10"/>
        <v>0</v>
      </c>
      <c r="J44" s="204"/>
      <c r="K44" s="180"/>
      <c r="L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>
        <f t="shared" si="11"/>
        <v>0</v>
      </c>
      <c r="Y44" s="211"/>
    </row>
    <row r="45" spans="1:25">
      <c r="A45" s="178" t="s">
        <v>156</v>
      </c>
      <c r="B45" s="178" t="s">
        <v>157</v>
      </c>
      <c r="C45" s="179"/>
      <c r="D45" s="180"/>
      <c r="E45" s="180"/>
      <c r="F45" s="183"/>
      <c r="G45" s="178"/>
      <c r="H45" s="180"/>
      <c r="I45" s="180"/>
      <c r="J45" s="207"/>
      <c r="K45" s="206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>
        <v>4000</v>
      </c>
      <c r="X45" s="180">
        <v>4000</v>
      </c>
      <c r="Y45" s="211"/>
    </row>
    <row r="46" spans="1:25">
      <c r="A46" s="178" t="s">
        <v>110</v>
      </c>
      <c r="B46" s="178" t="s">
        <v>111</v>
      </c>
      <c r="C46" s="184" t="s">
        <v>158</v>
      </c>
      <c r="D46" s="183">
        <v>6000</v>
      </c>
      <c r="E46" s="180">
        <v>1384.56</v>
      </c>
      <c r="F46" s="183">
        <f t="shared" ref="F46:F65" si="13">D46-E46</f>
        <v>4615.4400000000005</v>
      </c>
      <c r="G46" s="178"/>
      <c r="H46" s="183"/>
      <c r="I46" s="180">
        <f t="shared" ref="I46:I65" si="14">F46+G46+H46</f>
        <v>4615.4400000000005</v>
      </c>
      <c r="J46" s="207"/>
      <c r="K46" s="180">
        <v>180</v>
      </c>
      <c r="L46" s="180"/>
      <c r="M46" s="206"/>
      <c r="N46" s="180"/>
      <c r="O46" s="180"/>
      <c r="P46" s="180"/>
      <c r="Q46" s="180"/>
      <c r="R46" s="180"/>
      <c r="S46" s="180"/>
      <c r="T46" s="180"/>
      <c r="U46" s="180"/>
      <c r="V46" s="180"/>
      <c r="W46" s="180">
        <f t="shared" ref="W46:W65" si="15">SUM(M46:U46)</f>
        <v>0</v>
      </c>
      <c r="X46" s="180">
        <f t="shared" ref="X46:X49" si="16">(I46+J46)-W46</f>
        <v>4615.4400000000005</v>
      </c>
      <c r="Y46" s="213"/>
    </row>
    <row r="47" spans="1:25">
      <c r="A47" s="178" t="s">
        <v>112</v>
      </c>
      <c r="B47" s="178" t="s">
        <v>113</v>
      </c>
      <c r="C47" s="184" t="s">
        <v>171</v>
      </c>
      <c r="D47" s="180">
        <v>6461.54</v>
      </c>
      <c r="E47" s="180">
        <v>8.65</v>
      </c>
      <c r="F47" s="183">
        <f t="shared" si="13"/>
        <v>6452.89</v>
      </c>
      <c r="G47" s="178"/>
      <c r="H47" s="180"/>
      <c r="I47" s="180">
        <f t="shared" si="14"/>
        <v>6452.89</v>
      </c>
      <c r="J47" s="207"/>
      <c r="K47" s="206">
        <v>255</v>
      </c>
      <c r="L47" s="180">
        <v>100</v>
      </c>
      <c r="M47" s="180"/>
      <c r="N47" s="178"/>
      <c r="O47" s="178"/>
      <c r="P47" s="180"/>
      <c r="Q47" s="180"/>
      <c r="R47" s="180"/>
      <c r="S47" s="180"/>
      <c r="T47" s="180"/>
      <c r="U47" s="180"/>
      <c r="V47" s="180"/>
      <c r="W47" s="180">
        <f t="shared" si="15"/>
        <v>0</v>
      </c>
      <c r="X47" s="180">
        <f t="shared" si="16"/>
        <v>6452.89</v>
      </c>
      <c r="Y47" s="213"/>
    </row>
    <row r="48" spans="1:25">
      <c r="A48" s="178" t="s">
        <v>114</v>
      </c>
      <c r="B48" s="178" t="s">
        <v>115</v>
      </c>
      <c r="C48" s="184" t="s">
        <v>171</v>
      </c>
      <c r="D48" s="180">
        <v>8500</v>
      </c>
      <c r="E48" s="180"/>
      <c r="F48" s="183">
        <f t="shared" si="13"/>
        <v>8500</v>
      </c>
      <c r="G48" s="178"/>
      <c r="H48" s="180"/>
      <c r="I48" s="180">
        <f t="shared" si="14"/>
        <v>8500</v>
      </c>
      <c r="J48" s="207">
        <v>2500</v>
      </c>
      <c r="K48" s="180">
        <v>255</v>
      </c>
      <c r="L48" s="180">
        <v>100</v>
      </c>
      <c r="M48" s="180"/>
      <c r="N48" s="180">
        <v>218.46</v>
      </c>
      <c r="O48" s="180"/>
      <c r="P48" s="180"/>
      <c r="Q48" s="180"/>
      <c r="R48" s="180"/>
      <c r="S48" s="180"/>
      <c r="T48" s="180"/>
      <c r="U48" s="180"/>
      <c r="V48" s="180"/>
      <c r="W48" s="180">
        <f t="shared" si="15"/>
        <v>218.46</v>
      </c>
      <c r="X48" s="180">
        <f t="shared" si="16"/>
        <v>10781.54</v>
      </c>
      <c r="Y48" s="213"/>
    </row>
    <row r="49" spans="1:25">
      <c r="A49" s="178" t="s">
        <v>117</v>
      </c>
      <c r="B49" s="178" t="s">
        <v>115</v>
      </c>
      <c r="C49" s="184" t="s">
        <v>171</v>
      </c>
      <c r="D49" s="183">
        <v>8500</v>
      </c>
      <c r="E49" s="180"/>
      <c r="F49" s="183">
        <f t="shared" si="13"/>
        <v>8500</v>
      </c>
      <c r="G49" s="178"/>
      <c r="H49" s="183"/>
      <c r="I49" s="180">
        <f t="shared" si="14"/>
        <v>8500</v>
      </c>
      <c r="J49" s="207">
        <v>2500</v>
      </c>
      <c r="K49" s="206">
        <v>210</v>
      </c>
      <c r="L49" s="180">
        <v>100</v>
      </c>
      <c r="M49" s="180"/>
      <c r="N49" s="178">
        <v>142.58000000000001</v>
      </c>
      <c r="O49" s="178"/>
      <c r="P49" s="180"/>
      <c r="Q49" s="180"/>
      <c r="R49" s="180"/>
      <c r="S49" s="180"/>
      <c r="T49" s="180"/>
      <c r="U49" s="180"/>
      <c r="V49" s="180"/>
      <c r="W49" s="180">
        <f t="shared" si="15"/>
        <v>142.58000000000001</v>
      </c>
      <c r="X49" s="180">
        <f t="shared" si="16"/>
        <v>10857.42</v>
      </c>
      <c r="Y49" s="213"/>
    </row>
    <row r="50" spans="1:25">
      <c r="A50" s="178" t="s">
        <v>118</v>
      </c>
      <c r="B50" s="178" t="s">
        <v>111</v>
      </c>
      <c r="C50" s="184" t="s">
        <v>171</v>
      </c>
      <c r="D50" s="180">
        <v>6500</v>
      </c>
      <c r="E50" s="180"/>
      <c r="F50" s="183">
        <f t="shared" si="13"/>
        <v>6500</v>
      </c>
      <c r="G50" s="178"/>
      <c r="H50" s="180"/>
      <c r="I50" s="180">
        <f t="shared" si="14"/>
        <v>6500</v>
      </c>
      <c r="J50" s="207">
        <v>2500</v>
      </c>
      <c r="K50" s="206">
        <v>195</v>
      </c>
      <c r="L50" s="180">
        <v>100</v>
      </c>
      <c r="M50" s="180"/>
      <c r="N50" s="180">
        <v>218.46</v>
      </c>
      <c r="O50" s="180"/>
      <c r="P50" s="180"/>
      <c r="Q50" s="180"/>
      <c r="R50" s="180"/>
      <c r="S50" s="180"/>
      <c r="T50" s="180"/>
      <c r="U50" s="180"/>
      <c r="V50" s="180"/>
      <c r="W50" s="180">
        <f t="shared" si="15"/>
        <v>218.46</v>
      </c>
      <c r="X50" s="180">
        <f>(F50+J50+V50)-W50</f>
        <v>8781.5400000000009</v>
      </c>
    </row>
    <row r="51" spans="1:25">
      <c r="A51" s="178" t="s">
        <v>119</v>
      </c>
      <c r="B51" s="178" t="s">
        <v>111</v>
      </c>
      <c r="C51" s="184" t="s">
        <v>171</v>
      </c>
      <c r="D51" s="180">
        <v>6000</v>
      </c>
      <c r="E51" s="180"/>
      <c r="F51" s="183">
        <f t="shared" si="13"/>
        <v>6000</v>
      </c>
      <c r="G51" s="178"/>
      <c r="H51" s="180"/>
      <c r="I51" s="180">
        <f t="shared" si="14"/>
        <v>6000</v>
      </c>
      <c r="J51" s="207">
        <v>2500</v>
      </c>
      <c r="K51" s="180">
        <v>180</v>
      </c>
      <c r="L51" s="180">
        <v>100</v>
      </c>
      <c r="M51" s="180"/>
      <c r="N51" s="180">
        <v>142.58000000000001</v>
      </c>
      <c r="O51" s="180"/>
      <c r="P51" s="180"/>
      <c r="Q51" s="180"/>
      <c r="R51" s="180"/>
      <c r="S51" s="180"/>
      <c r="T51" s="180"/>
      <c r="U51" s="180"/>
      <c r="V51" s="180"/>
      <c r="W51" s="180">
        <f t="shared" si="15"/>
        <v>142.58000000000001</v>
      </c>
      <c r="X51" s="180">
        <f t="shared" ref="X51:X65" si="17">(I51+J51)-W51</f>
        <v>8357.42</v>
      </c>
    </row>
    <row r="52" spans="1:25">
      <c r="A52" s="178" t="s">
        <v>120</v>
      </c>
      <c r="B52" s="178" t="s">
        <v>111</v>
      </c>
      <c r="C52" s="184" t="s">
        <v>171</v>
      </c>
      <c r="D52" s="183">
        <v>6000</v>
      </c>
      <c r="E52" s="180">
        <v>394.52</v>
      </c>
      <c r="F52" s="183">
        <f t="shared" si="13"/>
        <v>5605.48</v>
      </c>
      <c r="G52" s="178"/>
      <c r="H52" s="183"/>
      <c r="I52" s="180">
        <f t="shared" si="14"/>
        <v>5605.48</v>
      </c>
      <c r="J52" s="207">
        <v>2500</v>
      </c>
      <c r="K52" s="180">
        <v>180</v>
      </c>
      <c r="L52" s="180">
        <v>100</v>
      </c>
      <c r="M52" s="180"/>
      <c r="N52" s="178">
        <v>142.58000000000001</v>
      </c>
      <c r="O52" s="178"/>
      <c r="P52" s="180"/>
      <c r="Q52" s="180"/>
      <c r="R52" s="180"/>
      <c r="S52" s="180"/>
      <c r="T52" s="180"/>
      <c r="U52" s="180">
        <v>500</v>
      </c>
      <c r="V52" s="180"/>
      <c r="W52" s="180">
        <f t="shared" si="15"/>
        <v>642.58000000000004</v>
      </c>
      <c r="X52" s="180">
        <f t="shared" si="17"/>
        <v>7462.9</v>
      </c>
    </row>
    <row r="53" spans="1:25">
      <c r="A53" s="178" t="s">
        <v>121</v>
      </c>
      <c r="B53" s="178" t="s">
        <v>111</v>
      </c>
      <c r="C53" s="184" t="s">
        <v>171</v>
      </c>
      <c r="D53" s="183">
        <v>6000</v>
      </c>
      <c r="E53" s="180"/>
      <c r="F53" s="183">
        <f t="shared" si="13"/>
        <v>6000</v>
      </c>
      <c r="G53" s="178"/>
      <c r="H53" s="183"/>
      <c r="I53" s="180">
        <f t="shared" si="14"/>
        <v>6000</v>
      </c>
      <c r="J53" s="207">
        <v>2500</v>
      </c>
      <c r="K53" s="180">
        <v>150</v>
      </c>
      <c r="L53" s="180"/>
      <c r="M53" s="180"/>
      <c r="N53" s="178">
        <v>218.46</v>
      </c>
      <c r="O53" s="178"/>
      <c r="P53" s="180"/>
      <c r="Q53" s="180"/>
      <c r="R53" s="180"/>
      <c r="S53" s="180"/>
      <c r="T53" s="180"/>
      <c r="U53" s="180"/>
      <c r="V53" s="180"/>
      <c r="W53" s="180">
        <f t="shared" si="15"/>
        <v>218.46</v>
      </c>
      <c r="X53" s="180">
        <f t="shared" si="17"/>
        <v>8281.5400000000009</v>
      </c>
    </row>
    <row r="54" spans="1:25">
      <c r="A54" s="178" t="s">
        <v>122</v>
      </c>
      <c r="B54" s="178" t="s">
        <v>113</v>
      </c>
      <c r="C54" s="184" t="s">
        <v>171</v>
      </c>
      <c r="D54" s="183">
        <v>5000</v>
      </c>
      <c r="E54" s="180"/>
      <c r="F54" s="183">
        <f t="shared" si="13"/>
        <v>5000</v>
      </c>
      <c r="G54" s="178"/>
      <c r="H54" s="183"/>
      <c r="I54" s="180">
        <f t="shared" si="14"/>
        <v>5000</v>
      </c>
      <c r="J54" s="207">
        <v>2500</v>
      </c>
      <c r="K54" s="180"/>
      <c r="L54" s="180"/>
      <c r="M54" s="180"/>
      <c r="N54" s="178"/>
      <c r="O54" s="178"/>
      <c r="P54" s="180"/>
      <c r="Q54" s="180"/>
      <c r="R54" s="180"/>
      <c r="S54" s="180"/>
      <c r="T54" s="180"/>
      <c r="U54" s="180"/>
      <c r="V54" s="180"/>
      <c r="W54" s="180">
        <f t="shared" si="15"/>
        <v>0</v>
      </c>
      <c r="X54" s="180">
        <f t="shared" si="17"/>
        <v>7500</v>
      </c>
    </row>
    <row r="55" spans="1:25">
      <c r="A55" s="178" t="s">
        <v>123</v>
      </c>
      <c r="B55" s="178" t="s">
        <v>113</v>
      </c>
      <c r="C55" s="184" t="s">
        <v>171</v>
      </c>
      <c r="D55" s="183">
        <v>5000</v>
      </c>
      <c r="E55" s="180"/>
      <c r="F55" s="183">
        <f t="shared" si="13"/>
        <v>5000</v>
      </c>
      <c r="G55" s="178"/>
      <c r="H55" s="183"/>
      <c r="I55" s="180">
        <f t="shared" si="14"/>
        <v>5000</v>
      </c>
      <c r="J55" s="207">
        <v>2500</v>
      </c>
      <c r="K55" s="180">
        <v>150</v>
      </c>
      <c r="L55" s="180">
        <v>100</v>
      </c>
      <c r="M55" s="180"/>
      <c r="N55" s="178"/>
      <c r="O55" s="178"/>
      <c r="P55" s="180"/>
      <c r="Q55" s="180"/>
      <c r="R55" s="180"/>
      <c r="S55" s="180"/>
      <c r="T55" s="180"/>
      <c r="U55" s="180">
        <v>1000</v>
      </c>
      <c r="V55" s="180"/>
      <c r="W55" s="180">
        <f t="shared" si="15"/>
        <v>1000</v>
      </c>
      <c r="X55" s="180">
        <f t="shared" si="17"/>
        <v>6500</v>
      </c>
    </row>
    <row r="56" spans="1:25">
      <c r="A56" s="178" t="s">
        <v>124</v>
      </c>
      <c r="B56" s="178" t="s">
        <v>113</v>
      </c>
      <c r="C56" s="184" t="s">
        <v>171</v>
      </c>
      <c r="D56" s="183">
        <v>5000</v>
      </c>
      <c r="E56" s="180"/>
      <c r="F56" s="183">
        <f t="shared" si="13"/>
        <v>5000</v>
      </c>
      <c r="G56" s="178"/>
      <c r="H56" s="183"/>
      <c r="I56" s="180">
        <f t="shared" si="14"/>
        <v>5000</v>
      </c>
      <c r="J56" s="207">
        <v>2500</v>
      </c>
      <c r="K56" s="180">
        <v>150</v>
      </c>
      <c r="L56" s="180">
        <v>100</v>
      </c>
      <c r="M56" s="180"/>
      <c r="N56" s="178"/>
      <c r="O56" s="178"/>
      <c r="P56" s="180"/>
      <c r="Q56" s="180"/>
      <c r="R56" s="180"/>
      <c r="S56" s="180"/>
      <c r="T56" s="180"/>
      <c r="U56" s="180">
        <v>500</v>
      </c>
      <c r="V56" s="180"/>
      <c r="W56" s="180">
        <f t="shared" si="15"/>
        <v>500</v>
      </c>
      <c r="X56" s="180">
        <f t="shared" si="17"/>
        <v>7000</v>
      </c>
    </row>
    <row r="57" spans="1:25">
      <c r="A57" s="178" t="s">
        <v>125</v>
      </c>
      <c r="B57" s="178" t="s">
        <v>113</v>
      </c>
      <c r="C57" s="184" t="s">
        <v>171</v>
      </c>
      <c r="D57" s="183">
        <v>5000</v>
      </c>
      <c r="E57" s="180"/>
      <c r="F57" s="183">
        <f t="shared" si="13"/>
        <v>5000</v>
      </c>
      <c r="G57" s="178"/>
      <c r="H57" s="183"/>
      <c r="I57" s="180">
        <f t="shared" si="14"/>
        <v>5000</v>
      </c>
      <c r="J57" s="207">
        <v>2500</v>
      </c>
      <c r="K57" s="180">
        <v>150</v>
      </c>
      <c r="L57" s="180"/>
      <c r="M57" s="180"/>
      <c r="N57" s="178"/>
      <c r="O57" s="178"/>
      <c r="P57" s="180"/>
      <c r="Q57" s="180"/>
      <c r="R57" s="180"/>
      <c r="S57" s="180"/>
      <c r="T57" s="180"/>
      <c r="U57" s="180">
        <v>500</v>
      </c>
      <c r="V57" s="180"/>
      <c r="W57" s="180">
        <f t="shared" si="15"/>
        <v>500</v>
      </c>
      <c r="X57" s="180">
        <f t="shared" si="17"/>
        <v>7000</v>
      </c>
    </row>
    <row r="58" spans="1:25">
      <c r="A58" s="178" t="s">
        <v>126</v>
      </c>
      <c r="B58" s="178" t="s">
        <v>113</v>
      </c>
      <c r="C58" s="184" t="s">
        <v>171</v>
      </c>
      <c r="D58" s="183">
        <v>5000</v>
      </c>
      <c r="E58" s="180"/>
      <c r="F58" s="183">
        <f t="shared" si="13"/>
        <v>5000</v>
      </c>
      <c r="G58" s="178"/>
      <c r="H58" s="183"/>
      <c r="I58" s="180">
        <f t="shared" si="14"/>
        <v>5000</v>
      </c>
      <c r="J58" s="207">
        <v>2500</v>
      </c>
      <c r="K58" s="180"/>
      <c r="L58" s="180"/>
      <c r="M58" s="180"/>
      <c r="N58" s="178"/>
      <c r="O58" s="178"/>
      <c r="P58" s="180"/>
      <c r="Q58" s="180"/>
      <c r="R58" s="180"/>
      <c r="S58" s="180"/>
      <c r="T58" s="180"/>
      <c r="U58" s="180">
        <v>750</v>
      </c>
      <c r="V58" s="180"/>
      <c r="W58" s="180">
        <f t="shared" si="15"/>
        <v>750</v>
      </c>
      <c r="X58" s="180">
        <f t="shared" si="17"/>
        <v>6750</v>
      </c>
    </row>
    <row r="59" spans="1:25">
      <c r="A59" s="178" t="s">
        <v>127</v>
      </c>
      <c r="B59" s="178" t="s">
        <v>113</v>
      </c>
      <c r="C59" s="184" t="s">
        <v>171</v>
      </c>
      <c r="D59" s="183">
        <v>5000</v>
      </c>
      <c r="E59" s="180"/>
      <c r="F59" s="183">
        <f t="shared" si="13"/>
        <v>5000</v>
      </c>
      <c r="G59" s="178"/>
      <c r="H59" s="183"/>
      <c r="I59" s="180">
        <f t="shared" si="14"/>
        <v>5000</v>
      </c>
      <c r="J59" s="207">
        <v>2500</v>
      </c>
      <c r="K59" s="180">
        <v>150</v>
      </c>
      <c r="L59" s="180">
        <v>100</v>
      </c>
      <c r="M59" s="180"/>
      <c r="N59" s="178"/>
      <c r="O59" s="178"/>
      <c r="P59" s="180"/>
      <c r="Q59" s="180"/>
      <c r="R59" s="180"/>
      <c r="S59" s="180"/>
      <c r="T59" s="180"/>
      <c r="U59" s="180">
        <v>500</v>
      </c>
      <c r="V59" s="180"/>
      <c r="W59" s="180">
        <f t="shared" si="15"/>
        <v>500</v>
      </c>
      <c r="X59" s="180">
        <f t="shared" si="17"/>
        <v>7000</v>
      </c>
    </row>
    <row r="60" spans="1:25">
      <c r="A60" s="178" t="s">
        <v>129</v>
      </c>
      <c r="B60" s="178" t="s">
        <v>113</v>
      </c>
      <c r="C60" s="184" t="s">
        <v>171</v>
      </c>
      <c r="D60" s="183">
        <v>5000</v>
      </c>
      <c r="E60" s="180"/>
      <c r="F60" s="183">
        <f t="shared" si="13"/>
        <v>5000</v>
      </c>
      <c r="G60" s="178"/>
      <c r="H60" s="183"/>
      <c r="I60" s="180">
        <f t="shared" si="14"/>
        <v>5000</v>
      </c>
      <c r="J60" s="207">
        <v>2500</v>
      </c>
      <c r="K60" s="180">
        <v>150</v>
      </c>
      <c r="L60" s="180"/>
      <c r="M60" s="180"/>
      <c r="N60" s="178"/>
      <c r="O60" s="178"/>
      <c r="P60" s="180"/>
      <c r="Q60" s="180"/>
      <c r="R60" s="180"/>
      <c r="S60" s="180"/>
      <c r="T60" s="180"/>
      <c r="U60" s="180">
        <v>500</v>
      </c>
      <c r="V60" s="180"/>
      <c r="W60" s="180">
        <f t="shared" si="15"/>
        <v>500</v>
      </c>
      <c r="X60" s="180">
        <f t="shared" si="17"/>
        <v>7000</v>
      </c>
    </row>
    <row r="61" spans="1:25">
      <c r="A61" s="178" t="s">
        <v>130</v>
      </c>
      <c r="B61" s="178" t="s">
        <v>113</v>
      </c>
      <c r="C61" s="184" t="s">
        <v>171</v>
      </c>
      <c r="D61" s="183">
        <v>5000</v>
      </c>
      <c r="E61" s="180"/>
      <c r="F61" s="183">
        <f t="shared" si="13"/>
        <v>5000</v>
      </c>
      <c r="G61" s="178"/>
      <c r="H61" s="183"/>
      <c r="I61" s="180">
        <f t="shared" si="14"/>
        <v>5000</v>
      </c>
      <c r="J61" s="207">
        <v>2500</v>
      </c>
      <c r="K61" s="180">
        <v>150</v>
      </c>
      <c r="L61" s="180"/>
      <c r="M61" s="180"/>
      <c r="N61" s="178"/>
      <c r="O61" s="178"/>
      <c r="P61" s="180"/>
      <c r="Q61" s="180"/>
      <c r="R61" s="180"/>
      <c r="S61" s="180"/>
      <c r="T61" s="180"/>
      <c r="U61" s="180"/>
      <c r="V61" s="180"/>
      <c r="W61" s="180">
        <f t="shared" si="15"/>
        <v>0</v>
      </c>
      <c r="X61" s="180">
        <f t="shared" si="17"/>
        <v>7500</v>
      </c>
    </row>
    <row r="62" spans="1:25">
      <c r="A62" s="178" t="s">
        <v>131</v>
      </c>
      <c r="B62" s="178" t="s">
        <v>113</v>
      </c>
      <c r="C62" s="184" t="s">
        <v>171</v>
      </c>
      <c r="D62" s="183">
        <v>5000</v>
      </c>
      <c r="E62" s="180"/>
      <c r="F62" s="183">
        <f t="shared" si="13"/>
        <v>5000</v>
      </c>
      <c r="G62" s="178"/>
      <c r="H62" s="183"/>
      <c r="I62" s="180">
        <f t="shared" si="14"/>
        <v>5000</v>
      </c>
      <c r="J62" s="207">
        <v>2500</v>
      </c>
      <c r="K62" s="180">
        <v>150</v>
      </c>
      <c r="L62" s="180">
        <v>100</v>
      </c>
      <c r="M62" s="180"/>
      <c r="N62" s="178"/>
      <c r="O62" s="178"/>
      <c r="P62" s="180"/>
      <c r="Q62" s="180"/>
      <c r="R62" s="180"/>
      <c r="S62" s="180"/>
      <c r="T62" s="180"/>
      <c r="U62" s="180"/>
      <c r="V62" s="180"/>
      <c r="W62" s="180">
        <f t="shared" si="15"/>
        <v>0</v>
      </c>
      <c r="X62" s="180">
        <f t="shared" si="17"/>
        <v>7500</v>
      </c>
    </row>
    <row r="63" spans="1:25">
      <c r="A63" s="178" t="s">
        <v>132</v>
      </c>
      <c r="B63" s="178" t="s">
        <v>113</v>
      </c>
      <c r="C63" s="184" t="s">
        <v>171</v>
      </c>
      <c r="D63" s="183">
        <v>5000</v>
      </c>
      <c r="E63" s="180"/>
      <c r="F63" s="183">
        <f t="shared" si="13"/>
        <v>5000</v>
      </c>
      <c r="G63" s="178"/>
      <c r="H63" s="183"/>
      <c r="I63" s="180">
        <f t="shared" si="14"/>
        <v>5000</v>
      </c>
      <c r="J63" s="207">
        <v>2500</v>
      </c>
      <c r="K63" s="180">
        <v>150</v>
      </c>
      <c r="L63" s="180">
        <v>100</v>
      </c>
      <c r="M63" s="180"/>
      <c r="N63" s="178"/>
      <c r="O63" s="178"/>
      <c r="P63" s="180"/>
      <c r="Q63" s="180"/>
      <c r="R63" s="180"/>
      <c r="S63" s="180"/>
      <c r="T63" s="180"/>
      <c r="U63" s="180"/>
      <c r="V63" s="180"/>
      <c r="W63" s="180">
        <f t="shared" si="15"/>
        <v>0</v>
      </c>
      <c r="X63" s="180">
        <f t="shared" si="17"/>
        <v>7500</v>
      </c>
    </row>
    <row r="64" spans="1:25">
      <c r="A64" s="178" t="s">
        <v>133</v>
      </c>
      <c r="B64" s="178" t="s">
        <v>113</v>
      </c>
      <c r="C64" s="184" t="s">
        <v>171</v>
      </c>
      <c r="D64" s="183">
        <v>5000</v>
      </c>
      <c r="E64" s="180"/>
      <c r="F64" s="183">
        <f t="shared" si="13"/>
        <v>5000</v>
      </c>
      <c r="G64" s="178"/>
      <c r="H64" s="183"/>
      <c r="I64" s="180">
        <f t="shared" si="14"/>
        <v>5000</v>
      </c>
      <c r="J64" s="207">
        <v>2500</v>
      </c>
      <c r="K64" s="180">
        <v>150</v>
      </c>
      <c r="L64" s="180"/>
      <c r="N64" s="178"/>
      <c r="O64" s="178"/>
      <c r="P64" s="180"/>
      <c r="Q64" s="180"/>
      <c r="R64" s="180"/>
      <c r="S64" s="180"/>
      <c r="T64" s="180">
        <v>1000</v>
      </c>
      <c r="U64" s="180"/>
      <c r="V64" s="180"/>
      <c r="W64" s="180">
        <f t="shared" si="15"/>
        <v>1000</v>
      </c>
      <c r="X64" s="180">
        <f t="shared" si="17"/>
        <v>6500</v>
      </c>
    </row>
    <row r="65" spans="1:27">
      <c r="A65" s="178" t="s">
        <v>134</v>
      </c>
      <c r="B65" s="178" t="s">
        <v>113</v>
      </c>
      <c r="C65" s="184" t="s">
        <v>171</v>
      </c>
      <c r="D65" s="183">
        <v>5000</v>
      </c>
      <c r="E65" s="180"/>
      <c r="F65" s="183">
        <f t="shared" si="13"/>
        <v>5000</v>
      </c>
      <c r="G65" s="178"/>
      <c r="H65" s="183"/>
      <c r="I65" s="180">
        <f t="shared" si="14"/>
        <v>5000</v>
      </c>
      <c r="J65" s="207">
        <v>2500</v>
      </c>
      <c r="K65" s="180">
        <v>150</v>
      </c>
      <c r="L65" s="180">
        <v>100</v>
      </c>
      <c r="M65" s="180"/>
      <c r="N65" s="178"/>
      <c r="O65" s="178"/>
      <c r="P65" s="180"/>
      <c r="Q65" s="180"/>
      <c r="R65" s="180"/>
      <c r="S65" s="180"/>
      <c r="T65" s="180"/>
      <c r="U65" s="180"/>
      <c r="V65" s="180"/>
      <c r="W65" s="180">
        <f t="shared" si="15"/>
        <v>0</v>
      </c>
      <c r="X65" s="180">
        <f t="shared" si="17"/>
        <v>7500</v>
      </c>
    </row>
    <row r="66" spans="1:27">
      <c r="A66" s="178"/>
      <c r="B66" s="178"/>
      <c r="C66" s="179"/>
      <c r="D66" s="183"/>
      <c r="E66" s="180"/>
      <c r="F66" s="183"/>
      <c r="G66" s="178"/>
      <c r="H66" s="183"/>
      <c r="I66" s="180"/>
      <c r="J66" s="207"/>
      <c r="K66" s="180"/>
      <c r="L66" s="178"/>
      <c r="M66" s="180"/>
      <c r="N66" s="178"/>
      <c r="O66" s="178"/>
      <c r="P66" s="180"/>
      <c r="Q66" s="180"/>
      <c r="R66" s="180"/>
      <c r="S66" s="180"/>
      <c r="T66" s="180"/>
      <c r="U66" s="180"/>
      <c r="V66" s="180"/>
      <c r="W66" s="180"/>
      <c r="X66" s="180"/>
    </row>
    <row r="67" spans="1:27">
      <c r="A67" s="188" t="s">
        <v>135</v>
      </c>
      <c r="B67" s="188"/>
      <c r="C67" s="192"/>
      <c r="D67" s="193">
        <f t="shared" ref="D67:J67" si="18">SUM(D13:D65)</f>
        <v>330383.52</v>
      </c>
      <c r="E67" s="193">
        <f t="shared" si="18"/>
        <v>9986.7000000000007</v>
      </c>
      <c r="F67" s="193">
        <f>D67-E67</f>
        <v>320396.82</v>
      </c>
      <c r="G67" s="193">
        <f t="shared" si="18"/>
        <v>1315.66</v>
      </c>
      <c r="H67" s="193">
        <f t="shared" si="18"/>
        <v>0</v>
      </c>
      <c r="I67" s="193">
        <f t="shared" si="18"/>
        <v>321712.48</v>
      </c>
      <c r="J67" s="208">
        <f t="shared" si="18"/>
        <v>66750</v>
      </c>
      <c r="K67" s="180"/>
      <c r="L67" s="178"/>
      <c r="M67" s="208"/>
      <c r="N67" s="193">
        <f t="shared" ref="N67:T67" si="19">SUM(N13:N65)</f>
        <v>4071.2499999999995</v>
      </c>
      <c r="O67" s="193">
        <f t="shared" si="19"/>
        <v>1500.03</v>
      </c>
      <c r="P67" s="209">
        <f t="shared" si="19"/>
        <v>5452.5</v>
      </c>
      <c r="Q67" s="209">
        <f t="shared" si="19"/>
        <v>10959</v>
      </c>
      <c r="R67" s="209">
        <f t="shared" si="19"/>
        <v>500</v>
      </c>
      <c r="S67" s="209">
        <f t="shared" si="19"/>
        <v>7530</v>
      </c>
      <c r="T67" s="209">
        <f t="shared" si="19"/>
        <v>27008.570000000003</v>
      </c>
      <c r="U67" s="209">
        <f>SUM(U12:U65)</f>
        <v>27274.15</v>
      </c>
      <c r="V67" s="209">
        <f>SUM(V12:V65)</f>
        <v>0</v>
      </c>
      <c r="W67" s="209">
        <f>SUM(W13:W65)</f>
        <v>88295.500000000029</v>
      </c>
      <c r="X67" s="193">
        <f>SUM(X13:X65)</f>
        <v>319166.98000000004</v>
      </c>
      <c r="Y67" s="213"/>
    </row>
    <row r="68" spans="1:27">
      <c r="A68" s="194"/>
      <c r="B68" s="194"/>
      <c r="C68" s="195"/>
      <c r="D68" s="194"/>
      <c r="E68" s="196"/>
      <c r="F68" s="194"/>
      <c r="G68" s="194"/>
      <c r="H68" s="194"/>
      <c r="I68" s="194"/>
      <c r="J68" s="210"/>
      <c r="N68" s="194"/>
      <c r="O68" s="210"/>
      <c r="P68" s="210"/>
      <c r="Q68" s="210"/>
      <c r="R68" s="210"/>
      <c r="S68" s="210"/>
      <c r="T68" s="210"/>
      <c r="U68" s="210"/>
      <c r="V68" s="210"/>
      <c r="W68" s="211"/>
    </row>
    <row r="69" spans="1:27">
      <c r="A69" s="194" t="s">
        <v>136</v>
      </c>
      <c r="F69" s="194" t="s">
        <v>137</v>
      </c>
      <c r="G69" s="194"/>
      <c r="O69" s="194" t="s">
        <v>138</v>
      </c>
      <c r="P69" s="194"/>
      <c r="Q69" s="194"/>
      <c r="R69" s="194"/>
      <c r="S69" s="194"/>
      <c r="T69" s="194"/>
      <c r="U69" s="168"/>
      <c r="V69" s="168" t="s">
        <v>139</v>
      </c>
      <c r="W69" s="211"/>
    </row>
    <row r="70" spans="1:27">
      <c r="A70" s="194"/>
      <c r="H70" s="194"/>
      <c r="J70" s="168"/>
      <c r="O70" s="168"/>
      <c r="P70" s="168"/>
      <c r="Q70" s="168"/>
      <c r="R70" s="168"/>
      <c r="S70" s="168"/>
      <c r="T70" s="168"/>
      <c r="U70" s="168"/>
      <c r="V70" s="168"/>
      <c r="Y70" s="194"/>
      <c r="AA70" s="196"/>
    </row>
    <row r="71" spans="1:27">
      <c r="A71" s="194" t="s">
        <v>140</v>
      </c>
      <c r="F71" s="194" t="s">
        <v>141</v>
      </c>
      <c r="J71" s="168"/>
      <c r="M71" s="210"/>
      <c r="O71" s="194" t="s">
        <v>142</v>
      </c>
      <c r="P71" s="194"/>
      <c r="Q71" s="168"/>
      <c r="R71" s="168"/>
      <c r="S71" s="168"/>
      <c r="T71" s="168"/>
      <c r="U71" s="168"/>
      <c r="V71" s="194" t="s">
        <v>143</v>
      </c>
      <c r="AA71" s="170"/>
    </row>
    <row r="72" spans="1:27">
      <c r="A72" s="168" t="s">
        <v>91</v>
      </c>
      <c r="F72" s="168" t="s">
        <v>144</v>
      </c>
      <c r="J72" s="168"/>
      <c r="O72" s="168" t="s">
        <v>68</v>
      </c>
      <c r="P72" s="168"/>
      <c r="Q72" s="168"/>
      <c r="R72" s="168"/>
      <c r="S72" s="168"/>
      <c r="T72" s="168"/>
      <c r="U72" s="168"/>
      <c r="V72" s="168" t="s">
        <v>145</v>
      </c>
      <c r="AA72" s="170"/>
    </row>
    <row r="73" spans="1:27">
      <c r="J73" s="168"/>
      <c r="O73" s="168"/>
      <c r="P73" s="168"/>
      <c r="AA73" s="170"/>
    </row>
    <row r="74" spans="1:27">
      <c r="A74" s="194"/>
      <c r="D74" s="194"/>
      <c r="H74" s="194"/>
    </row>
    <row r="75" spans="1:27">
      <c r="A75" s="194"/>
      <c r="D75" s="194"/>
      <c r="E75" s="196"/>
      <c r="F75" s="194"/>
      <c r="G75" s="194"/>
      <c r="H75" s="194"/>
    </row>
    <row r="76" spans="1:27">
      <c r="A76" s="194"/>
      <c r="D76" s="194"/>
      <c r="E76" s="196"/>
      <c r="F76" s="194"/>
      <c r="G76" s="194"/>
      <c r="H76" s="194"/>
    </row>
  </sheetData>
  <autoFilter ref="A8:A77" xr:uid="{00000000-0009-0000-0000-000005000000}"/>
  <mergeCells count="25">
    <mergeCell ref="W8:W11"/>
    <mergeCell ref="X8:X11"/>
    <mergeCell ref="M8:N9"/>
    <mergeCell ref="O8:U9"/>
    <mergeCell ref="R10:R11"/>
    <mergeCell ref="S10:S11"/>
    <mergeCell ref="T10:T11"/>
    <mergeCell ref="U10:U11"/>
    <mergeCell ref="V10:V11"/>
    <mergeCell ref="A3:X3"/>
    <mergeCell ref="B5:D5"/>
    <mergeCell ref="B6:D6"/>
    <mergeCell ref="A8:A11"/>
    <mergeCell ref="B8:B11"/>
    <mergeCell ref="C8:C11"/>
    <mergeCell ref="D8:D11"/>
    <mergeCell ref="E8:E11"/>
    <mergeCell ref="F8:F11"/>
    <mergeCell ref="G8:G11"/>
    <mergeCell ref="H8:H11"/>
    <mergeCell ref="I8:I11"/>
    <mergeCell ref="J8:J11"/>
    <mergeCell ref="O10:O11"/>
    <mergeCell ref="P10:P11"/>
    <mergeCell ref="Q10:Q11"/>
  </mergeCells>
  <pageMargins left="0" right="0" top="0" bottom="0" header="0.3" footer="0.3"/>
  <pageSetup paperSize="9" scale="63" orientation="landscape" r:id="rId1"/>
  <colBreaks count="1" manualBreakCount="1">
    <brk id="24" max="72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U76"/>
  <sheetViews>
    <sheetView tabSelected="1" zoomScaleNormal="100" zoomScaleSheetLayoutView="96" workbookViewId="0">
      <pane xSplit="1" topLeftCell="B1" activePane="topRight" state="frozen"/>
      <selection activeCell="A31" sqref="A31"/>
      <selection pane="topRight" activeCell="M72" sqref="M72"/>
    </sheetView>
  </sheetViews>
  <sheetFormatPr defaultColWidth="9" defaultRowHeight="12"/>
  <cols>
    <col min="1" max="1" width="17.625" style="168" customWidth="1"/>
    <col min="2" max="2" width="18" style="168" customWidth="1"/>
    <col min="3" max="3" width="5.125" style="169" customWidth="1"/>
    <col min="4" max="4" width="9.375" style="168" customWidth="1"/>
    <col min="5" max="5" width="7.125" style="170" customWidth="1"/>
    <col min="6" max="6" width="11.5" style="168" customWidth="1"/>
    <col min="7" max="7" width="8.375" style="168" customWidth="1"/>
    <col min="8" max="8" width="9.125" style="168" customWidth="1"/>
    <col min="9" max="9" width="9" style="168" customWidth="1"/>
    <col min="10" max="10" width="9.625" style="170" customWidth="1"/>
    <col min="11" max="11" width="8" style="170" customWidth="1"/>
    <col min="12" max="12" width="7.625" style="168" customWidth="1"/>
    <col min="13" max="13" width="7.5" style="168" customWidth="1"/>
    <col min="14" max="14" width="8.125" style="170" customWidth="1"/>
    <col min="15" max="15" width="9.125" style="170" customWidth="1"/>
    <col min="16" max="16" width="7.125" style="170" customWidth="1"/>
    <col min="17" max="17" width="8.625" style="170" customWidth="1"/>
    <col min="18" max="18" width="7.625" style="170" customWidth="1"/>
    <col min="19" max="19" width="7.875" style="170" customWidth="1"/>
    <col min="20" max="20" width="10.5" style="168" customWidth="1"/>
    <col min="21" max="21" width="11.5" style="170" customWidth="1"/>
    <col min="22" max="22" width="10.625" style="252" customWidth="1"/>
    <col min="23" max="23" width="9.875" style="252" customWidth="1"/>
    <col min="24" max="24" width="10" style="252" customWidth="1"/>
    <col min="25" max="28" width="9" style="168"/>
    <col min="29" max="29" width="9" style="252"/>
    <col min="30" max="16384" width="9" style="168"/>
  </cols>
  <sheetData>
    <row r="1" spans="1:47" ht="15">
      <c r="A1" s="22" t="s">
        <v>31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</row>
    <row r="2" spans="1:47" ht="15" customHeight="1">
      <c r="A2" s="22" t="s">
        <v>32</v>
      </c>
    </row>
    <row r="3" spans="1:47" ht="15" customHeight="1">
      <c r="A3" s="22" t="s">
        <v>33</v>
      </c>
      <c r="B3" s="259" t="s">
        <v>455</v>
      </c>
      <c r="C3" s="259"/>
      <c r="D3" s="259"/>
    </row>
    <row r="4" spans="1:47" ht="15" customHeight="1">
      <c r="A4" s="22" t="s">
        <v>35</v>
      </c>
      <c r="B4" s="258">
        <v>46295</v>
      </c>
      <c r="C4" s="260"/>
      <c r="D4" s="260"/>
      <c r="Y4" s="213"/>
    </row>
    <row r="5" spans="1:47" ht="15" customHeight="1" thickBot="1">
      <c r="A5" s="22"/>
    </row>
    <row r="6" spans="1:47" ht="15.75" customHeight="1">
      <c r="A6" s="482" t="s">
        <v>36</v>
      </c>
      <c r="B6" s="485" t="s">
        <v>37</v>
      </c>
      <c r="C6" s="488" t="s">
        <v>38</v>
      </c>
      <c r="D6" s="491" t="s">
        <v>39</v>
      </c>
      <c r="E6" s="494" t="s">
        <v>40</v>
      </c>
      <c r="F6" s="505" t="s">
        <v>41</v>
      </c>
      <c r="G6" s="508" t="s">
        <v>42</v>
      </c>
      <c r="H6" s="511" t="s">
        <v>43</v>
      </c>
      <c r="I6" s="514" t="s">
        <v>44</v>
      </c>
      <c r="J6" s="517" t="s">
        <v>45</v>
      </c>
      <c r="K6" s="503" t="s">
        <v>46</v>
      </c>
      <c r="L6" s="503"/>
      <c r="M6" s="503"/>
      <c r="N6" s="503"/>
      <c r="O6" s="503"/>
      <c r="P6" s="503"/>
      <c r="Q6" s="503"/>
      <c r="R6" s="503"/>
      <c r="S6" s="497" t="s">
        <v>57</v>
      </c>
      <c r="T6" s="482" t="s">
        <v>47</v>
      </c>
      <c r="U6" s="500" t="s">
        <v>48</v>
      </c>
      <c r="V6" s="520" t="s">
        <v>345</v>
      </c>
      <c r="W6" s="521" t="s">
        <v>346</v>
      </c>
      <c r="X6" s="524" t="s">
        <v>380</v>
      </c>
      <c r="Y6" s="522"/>
      <c r="Z6" s="523" t="s">
        <v>347</v>
      </c>
      <c r="AA6" s="523" t="s">
        <v>348</v>
      </c>
      <c r="AB6" s="356"/>
    </row>
    <row r="7" spans="1:47" ht="15.75" customHeight="1" thickBot="1">
      <c r="A7" s="483"/>
      <c r="B7" s="486"/>
      <c r="C7" s="489"/>
      <c r="D7" s="492"/>
      <c r="E7" s="495"/>
      <c r="F7" s="506"/>
      <c r="G7" s="509"/>
      <c r="H7" s="512"/>
      <c r="I7" s="515"/>
      <c r="J7" s="518"/>
      <c r="K7" s="504"/>
      <c r="L7" s="504"/>
      <c r="M7" s="504"/>
      <c r="N7" s="504"/>
      <c r="O7" s="504"/>
      <c r="P7" s="504"/>
      <c r="Q7" s="504"/>
      <c r="R7" s="504"/>
      <c r="S7" s="498"/>
      <c r="T7" s="483"/>
      <c r="U7" s="501"/>
      <c r="V7" s="520"/>
      <c r="W7" s="521"/>
      <c r="X7" s="524"/>
      <c r="Y7" s="522"/>
      <c r="Z7" s="523"/>
      <c r="AA7" s="523"/>
      <c r="AB7" s="356"/>
    </row>
    <row r="8" spans="1:47" ht="30" customHeight="1" thickBot="1">
      <c r="A8" s="484"/>
      <c r="B8" s="487"/>
      <c r="C8" s="490"/>
      <c r="D8" s="493"/>
      <c r="E8" s="496"/>
      <c r="F8" s="507"/>
      <c r="G8" s="510"/>
      <c r="H8" s="513"/>
      <c r="I8" s="516"/>
      <c r="J8" s="519"/>
      <c r="K8" s="298" t="s">
        <v>146</v>
      </c>
      <c r="L8" s="299" t="s">
        <v>52</v>
      </c>
      <c r="M8" s="320" t="s">
        <v>320</v>
      </c>
      <c r="N8" s="300" t="s">
        <v>55</v>
      </c>
      <c r="O8" s="301" t="s">
        <v>313</v>
      </c>
      <c r="P8" s="301" t="s">
        <v>364</v>
      </c>
      <c r="Q8" s="302" t="s">
        <v>149</v>
      </c>
      <c r="R8" s="302" t="s">
        <v>54</v>
      </c>
      <c r="S8" s="499"/>
      <c r="T8" s="484"/>
      <c r="U8" s="502"/>
      <c r="V8" s="520"/>
      <c r="W8" s="521"/>
      <c r="X8" s="524"/>
      <c r="Y8" s="522"/>
      <c r="Z8" s="523"/>
      <c r="AA8" s="523"/>
      <c r="AB8" s="356"/>
    </row>
    <row r="9" spans="1:47" ht="15" customHeight="1">
      <c r="A9" s="174"/>
      <c r="B9" s="175"/>
      <c r="C9" s="176"/>
      <c r="D9" s="177"/>
      <c r="E9" s="177"/>
      <c r="F9" s="439"/>
      <c r="G9" s="177"/>
      <c r="H9" s="177"/>
      <c r="I9" s="437"/>
      <c r="J9" s="203"/>
      <c r="K9" s="177"/>
      <c r="L9" s="177"/>
      <c r="M9" s="177"/>
      <c r="N9" s="177"/>
      <c r="O9" s="177"/>
      <c r="P9" s="177"/>
      <c r="Q9" s="203"/>
      <c r="R9" s="177"/>
      <c r="S9" s="177"/>
      <c r="T9" s="177"/>
      <c r="U9" s="435"/>
      <c r="V9" s="354"/>
      <c r="W9" s="410"/>
      <c r="X9" s="410"/>
      <c r="Y9" s="451"/>
      <c r="Z9" s="355"/>
      <c r="AA9" s="355"/>
      <c r="AB9" s="356"/>
      <c r="AD9" s="194"/>
      <c r="AE9" s="194"/>
      <c r="AF9" s="194"/>
      <c r="AG9" s="194"/>
      <c r="AH9" s="194"/>
      <c r="AI9" s="194"/>
      <c r="AJ9" s="210"/>
      <c r="AK9" s="194"/>
      <c r="AL9" s="194"/>
      <c r="AM9" s="194"/>
      <c r="AN9" s="194"/>
      <c r="AO9" s="194"/>
      <c r="AP9" s="194"/>
      <c r="AQ9" s="194"/>
      <c r="AR9" s="210"/>
      <c r="AS9" s="194"/>
      <c r="AT9" s="210"/>
      <c r="AU9" s="194"/>
    </row>
    <row r="10" spans="1:47">
      <c r="A10" s="178"/>
      <c r="B10" s="178"/>
      <c r="C10" s="179"/>
      <c r="D10" s="180"/>
      <c r="E10" s="180"/>
      <c r="F10" s="440"/>
      <c r="G10" s="178"/>
      <c r="H10" s="180"/>
      <c r="I10" s="438"/>
      <c r="J10" s="204"/>
      <c r="K10" s="341"/>
      <c r="L10" s="337"/>
      <c r="M10" s="183"/>
      <c r="N10" s="296"/>
      <c r="O10" s="345"/>
      <c r="P10" s="296"/>
      <c r="Q10" s="296"/>
      <c r="R10" s="296"/>
      <c r="S10" s="180"/>
      <c r="T10" s="180"/>
      <c r="U10" s="436"/>
      <c r="W10" s="415"/>
      <c r="X10" s="412"/>
      <c r="Y10" s="452"/>
      <c r="Z10" s="346"/>
      <c r="AA10" s="346"/>
      <c r="AB10" s="347"/>
      <c r="AD10" s="211"/>
      <c r="AE10" s="194"/>
      <c r="AF10" s="194"/>
      <c r="AG10" s="194"/>
      <c r="AH10" s="194"/>
      <c r="AI10" s="194"/>
      <c r="AJ10" s="210"/>
      <c r="AK10" s="194"/>
      <c r="AL10" s="194"/>
      <c r="AM10" s="194"/>
      <c r="AN10" s="194"/>
      <c r="AO10" s="194"/>
      <c r="AP10" s="194"/>
      <c r="AQ10" s="194"/>
      <c r="AR10" s="210"/>
      <c r="AS10" s="194"/>
      <c r="AT10" s="210"/>
      <c r="AU10" s="194"/>
    </row>
    <row r="11" spans="1:47">
      <c r="A11" s="178"/>
      <c r="B11" s="178"/>
      <c r="C11" s="179"/>
      <c r="D11" s="181"/>
      <c r="E11" s="180"/>
      <c r="F11" s="440"/>
      <c r="G11" s="178"/>
      <c r="H11" s="180"/>
      <c r="I11" s="438"/>
      <c r="J11" s="207"/>
      <c r="K11" s="343"/>
      <c r="L11" s="359"/>
      <c r="M11" s="336"/>
      <c r="N11" s="296"/>
      <c r="O11" s="345"/>
      <c r="P11" s="296"/>
      <c r="Q11" s="180"/>
      <c r="R11" s="296"/>
      <c r="S11" s="180"/>
      <c r="T11" s="180"/>
      <c r="U11" s="436"/>
      <c r="W11" s="415"/>
      <c r="X11" s="412"/>
      <c r="Y11" s="452"/>
      <c r="Z11" s="346"/>
      <c r="AA11" s="346"/>
      <c r="AB11" s="347"/>
      <c r="AD11" s="211"/>
      <c r="AE11" s="194"/>
      <c r="AF11" s="194"/>
      <c r="AG11" s="194"/>
      <c r="AH11" s="194"/>
      <c r="AI11" s="194"/>
      <c r="AJ11" s="210"/>
      <c r="AK11" s="194"/>
      <c r="AL11" s="194"/>
      <c r="AM11" s="194"/>
      <c r="AN11" s="194"/>
      <c r="AO11" s="194"/>
      <c r="AP11" s="194"/>
      <c r="AQ11" s="194"/>
      <c r="AR11" s="210"/>
      <c r="AS11" s="194"/>
      <c r="AT11" s="210"/>
      <c r="AU11" s="194"/>
    </row>
    <row r="12" spans="1:47">
      <c r="A12" s="178"/>
      <c r="B12" s="178"/>
      <c r="C12" s="179"/>
      <c r="D12" s="181"/>
      <c r="E12" s="180"/>
      <c r="F12" s="440"/>
      <c r="G12" s="178"/>
      <c r="H12" s="180"/>
      <c r="I12" s="438"/>
      <c r="J12" s="207"/>
      <c r="K12" s="343"/>
      <c r="L12" s="358"/>
      <c r="M12" s="183"/>
      <c r="N12" s="296"/>
      <c r="O12" s="345"/>
      <c r="P12" s="296"/>
      <c r="Q12" s="296"/>
      <c r="R12" s="296"/>
      <c r="S12" s="180"/>
      <c r="T12" s="180"/>
      <c r="U12" s="436"/>
      <c r="W12" s="415"/>
      <c r="X12" s="412"/>
      <c r="Y12" s="452"/>
      <c r="Z12" s="346"/>
      <c r="AA12" s="346"/>
      <c r="AB12" s="347"/>
      <c r="AD12" s="211"/>
      <c r="AJ12" s="170"/>
      <c r="AR12" s="170"/>
      <c r="AT12" s="170"/>
    </row>
    <row r="13" spans="1:47">
      <c r="A13" s="178"/>
      <c r="B13" s="178"/>
      <c r="C13" s="179"/>
      <c r="D13" s="181"/>
      <c r="E13" s="180"/>
      <c r="F13" s="440"/>
      <c r="G13" s="178"/>
      <c r="H13" s="180"/>
      <c r="I13" s="438"/>
      <c r="J13" s="207"/>
      <c r="K13" s="343"/>
      <c r="L13" s="336"/>
      <c r="M13" s="183"/>
      <c r="N13" s="296"/>
      <c r="O13" s="345"/>
      <c r="P13" s="296"/>
      <c r="Q13" s="296"/>
      <c r="R13" s="296"/>
      <c r="S13" s="180"/>
      <c r="T13" s="180"/>
      <c r="U13" s="436"/>
      <c r="W13" s="415"/>
      <c r="X13" s="412"/>
      <c r="Y13" s="452"/>
      <c r="Z13" s="348"/>
      <c r="AA13" s="348"/>
      <c r="AB13" s="347"/>
      <c r="AD13" s="211"/>
      <c r="AJ13" s="170"/>
      <c r="AR13" s="170"/>
      <c r="AT13" s="170"/>
    </row>
    <row r="14" spans="1:47">
      <c r="A14" s="178"/>
      <c r="B14" s="178"/>
      <c r="C14" s="179"/>
      <c r="D14" s="181"/>
      <c r="E14" s="180"/>
      <c r="F14" s="440"/>
      <c r="G14" s="178"/>
      <c r="H14" s="180"/>
      <c r="I14" s="438"/>
      <c r="J14" s="207"/>
      <c r="K14" s="343"/>
      <c r="L14" s="336"/>
      <c r="M14" s="183"/>
      <c r="N14" s="296"/>
      <c r="O14" s="345"/>
      <c r="P14" s="296"/>
      <c r="Q14" s="296"/>
      <c r="R14" s="296"/>
      <c r="S14" s="180"/>
      <c r="T14" s="180"/>
      <c r="U14" s="436"/>
      <c r="W14" s="415"/>
      <c r="X14" s="412"/>
      <c r="Y14" s="452"/>
      <c r="Z14" s="348"/>
      <c r="AA14" s="348"/>
      <c r="AB14" s="347"/>
      <c r="AD14" s="211"/>
      <c r="AJ14" s="170"/>
      <c r="AR14" s="170"/>
      <c r="AT14" s="170"/>
    </row>
    <row r="15" spans="1:47" ht="12.75">
      <c r="A15" s="182"/>
      <c r="B15" s="178"/>
      <c r="C15" s="179"/>
      <c r="D15" s="180"/>
      <c r="E15" s="180"/>
      <c r="F15" s="440">
        <f t="shared" ref="F11:F63" si="0">D15-E15</f>
        <v>0</v>
      </c>
      <c r="G15" s="178"/>
      <c r="H15" s="180"/>
      <c r="I15" s="438">
        <f t="shared" ref="I11:I63" si="1">SUM(F15:H15)</f>
        <v>0</v>
      </c>
      <c r="J15" s="207"/>
      <c r="K15" s="344"/>
      <c r="L15" s="336"/>
      <c r="M15" s="183"/>
      <c r="N15" s="296"/>
      <c r="O15" s="345"/>
      <c r="P15" s="296"/>
      <c r="Q15" s="296"/>
      <c r="R15" s="296"/>
      <c r="S15" s="180"/>
      <c r="T15" s="180">
        <f t="shared" ref="T11:T63" si="2">SUM(K15:R15)</f>
        <v>0</v>
      </c>
      <c r="U15" s="436">
        <f t="shared" ref="U11:U63" si="3">I15+J15+S15-T15</f>
        <v>0</v>
      </c>
      <c r="W15" s="416"/>
      <c r="X15" s="409"/>
      <c r="Y15" s="452"/>
      <c r="Z15" s="348"/>
      <c r="AA15" s="348"/>
      <c r="AB15" s="347"/>
      <c r="AD15" s="211">
        <f t="shared" ref="AD14:AD63" si="4">AB15-AC15</f>
        <v>0</v>
      </c>
      <c r="AJ15" s="170"/>
      <c r="AR15" s="170"/>
      <c r="AT15" s="170"/>
    </row>
    <row r="16" spans="1:47">
      <c r="A16" s="178"/>
      <c r="B16" s="178" t="s">
        <v>86</v>
      </c>
      <c r="C16" s="179"/>
      <c r="D16" s="296">
        <f>PAALAN!N33</f>
        <v>7000</v>
      </c>
      <c r="E16" s="296">
        <f>PAALAN!N34</f>
        <v>0</v>
      </c>
      <c r="F16" s="440">
        <f t="shared" si="0"/>
        <v>7000</v>
      </c>
      <c r="G16" s="183">
        <f>PAALAN!N36</f>
        <v>0</v>
      </c>
      <c r="H16" s="296">
        <f>PAALAN!N37</f>
        <v>0</v>
      </c>
      <c r="I16" s="438">
        <f t="shared" si="1"/>
        <v>7000</v>
      </c>
      <c r="J16" s="338"/>
      <c r="K16" s="343">
        <v>700</v>
      </c>
      <c r="L16" s="336"/>
      <c r="M16" s="183"/>
      <c r="N16" s="296"/>
      <c r="O16" s="345"/>
      <c r="P16" s="296">
        <v>100</v>
      </c>
      <c r="Q16" s="296"/>
      <c r="R16" s="296"/>
      <c r="S16" s="321">
        <v>0</v>
      </c>
      <c r="T16" s="180">
        <f t="shared" si="2"/>
        <v>800</v>
      </c>
      <c r="U16" s="436">
        <f t="shared" si="3"/>
        <v>6200</v>
      </c>
      <c r="W16" s="416"/>
      <c r="X16" s="409"/>
      <c r="Y16" s="452">
        <f t="shared" ref="Y11:Y59" si="5">U16-SUM(V16:X16)</f>
        <v>6200</v>
      </c>
      <c r="Z16" s="349"/>
      <c r="AA16" s="346"/>
      <c r="AB16" s="347">
        <f t="shared" ref="AB10:AB63" si="6">Y16+Z16+AA16</f>
        <v>6200</v>
      </c>
      <c r="AC16" s="252">
        <v>5998.08</v>
      </c>
      <c r="AD16" s="211">
        <f t="shared" si="4"/>
        <v>201.92000000000007</v>
      </c>
      <c r="AJ16" s="170"/>
      <c r="AR16" s="170"/>
      <c r="AT16" s="170"/>
    </row>
    <row r="17" spans="1:46">
      <c r="A17" s="178"/>
      <c r="B17" s="178" t="s">
        <v>312</v>
      </c>
      <c r="C17" s="184"/>
      <c r="D17" s="180">
        <f>PATRICIO!N33</f>
        <v>9216.64</v>
      </c>
      <c r="E17" s="180">
        <f>PATRICIO!N34</f>
        <v>0</v>
      </c>
      <c r="F17" s="440">
        <f t="shared" si="0"/>
        <v>9216.64</v>
      </c>
      <c r="G17" s="183"/>
      <c r="H17" s="180">
        <f>PATRICIO!N37</f>
        <v>0</v>
      </c>
      <c r="I17" s="438">
        <f t="shared" si="1"/>
        <v>9216.64</v>
      </c>
      <c r="J17" s="207">
        <v>1500</v>
      </c>
      <c r="K17" s="343">
        <v>925</v>
      </c>
      <c r="L17" s="339"/>
      <c r="M17" s="296"/>
      <c r="N17" s="296">
        <v>0</v>
      </c>
      <c r="O17" s="345"/>
      <c r="P17" s="296">
        <v>200</v>
      </c>
      <c r="Q17" s="296"/>
      <c r="R17" s="296"/>
      <c r="S17" s="180"/>
      <c r="T17" s="180">
        <f t="shared" si="2"/>
        <v>1125</v>
      </c>
      <c r="U17" s="436">
        <f t="shared" si="3"/>
        <v>9591.64</v>
      </c>
      <c r="V17" s="252">
        <v>1000</v>
      </c>
      <c r="W17" s="415">
        <v>2809.77</v>
      </c>
      <c r="X17" s="412"/>
      <c r="Y17" s="452">
        <f t="shared" si="5"/>
        <v>5781.869999999999</v>
      </c>
      <c r="Z17" s="346"/>
      <c r="AA17" s="346"/>
      <c r="AB17" s="347">
        <f t="shared" si="6"/>
        <v>5781.869999999999</v>
      </c>
      <c r="AC17" s="252">
        <v>5250.14</v>
      </c>
      <c r="AD17" s="211">
        <f t="shared" si="4"/>
        <v>531.72999999999865</v>
      </c>
      <c r="AJ17" s="170"/>
      <c r="AR17" s="170"/>
      <c r="AT17" s="170"/>
    </row>
    <row r="18" spans="1:46">
      <c r="A18" s="178"/>
      <c r="B18" s="178" t="s">
        <v>306</v>
      </c>
      <c r="C18" s="184"/>
      <c r="D18" s="180">
        <f>'Fixed Salary - Sample'!N32</f>
        <v>10000</v>
      </c>
      <c r="E18" s="180">
        <f>'Fixed Salary - Sample'!N33</f>
        <v>480.76923076923077</v>
      </c>
      <c r="F18" s="440">
        <f t="shared" si="0"/>
        <v>9519.2307692307695</v>
      </c>
      <c r="G18" s="183"/>
      <c r="H18" s="180">
        <f>'Fixed Salary - Sample'!N36</f>
        <v>0</v>
      </c>
      <c r="I18" s="438">
        <f t="shared" si="1"/>
        <v>9519.2307692307695</v>
      </c>
      <c r="J18" s="338">
        <v>1500</v>
      </c>
      <c r="K18" s="343">
        <v>925</v>
      </c>
      <c r="L18" s="339"/>
      <c r="M18" s="296"/>
      <c r="N18" s="296"/>
      <c r="O18" s="345"/>
      <c r="P18" s="296">
        <v>100</v>
      </c>
      <c r="Q18" s="296">
        <v>0</v>
      </c>
      <c r="R18" s="296"/>
      <c r="S18" s="296"/>
      <c r="T18" s="180">
        <f t="shared" si="2"/>
        <v>1025</v>
      </c>
      <c r="U18" s="436">
        <f t="shared" si="3"/>
        <v>9994.2307692307695</v>
      </c>
      <c r="V18" s="252">
        <v>1000</v>
      </c>
      <c r="W18" s="409">
        <v>30</v>
      </c>
      <c r="X18" s="409"/>
      <c r="Y18" s="452">
        <f t="shared" si="5"/>
        <v>8964.2307692307695</v>
      </c>
      <c r="Z18" s="346"/>
      <c r="AA18" s="346"/>
      <c r="AB18" s="347">
        <f t="shared" si="6"/>
        <v>8964.2307692307695</v>
      </c>
      <c r="AC18" s="252">
        <v>8868.08</v>
      </c>
      <c r="AD18" s="211">
        <f t="shared" si="4"/>
        <v>96.150769230769583</v>
      </c>
      <c r="AJ18" s="170"/>
      <c r="AR18" s="170"/>
      <c r="AT18" s="170"/>
    </row>
    <row r="19" spans="1:46">
      <c r="A19" s="178"/>
      <c r="B19" s="178" t="s">
        <v>75</v>
      </c>
      <c r="C19" s="185"/>
      <c r="D19" s="180">
        <f>MALAZARTE!N33</f>
        <v>9963.4802884615383</v>
      </c>
      <c r="E19" s="180">
        <f>MALAZARTE!N34</f>
        <v>863.50162499999999</v>
      </c>
      <c r="F19" s="440">
        <f t="shared" si="0"/>
        <v>9099.9786634615375</v>
      </c>
      <c r="G19" s="183">
        <f>MALAZARTE!N36</f>
        <v>1186.1286057692309</v>
      </c>
      <c r="H19" s="180">
        <f>MALAZARTE!N37</f>
        <v>0</v>
      </c>
      <c r="I19" s="438">
        <f t="shared" si="1"/>
        <v>10286.107269230768</v>
      </c>
      <c r="J19" s="207"/>
      <c r="K19" s="343">
        <v>975</v>
      </c>
      <c r="L19" s="339"/>
      <c r="M19" s="296"/>
      <c r="N19" s="296">
        <v>800</v>
      </c>
      <c r="O19" s="345">
        <v>500</v>
      </c>
      <c r="P19" s="296">
        <v>100</v>
      </c>
      <c r="Q19" s="296"/>
      <c r="R19" s="296">
        <v>538.4</v>
      </c>
      <c r="S19" s="180"/>
      <c r="T19" s="180">
        <f t="shared" si="2"/>
        <v>2913.4</v>
      </c>
      <c r="U19" s="436">
        <f t="shared" si="3"/>
        <v>7372.7072692307684</v>
      </c>
      <c r="V19" s="252">
        <v>1000</v>
      </c>
      <c r="W19" s="415">
        <v>2000</v>
      </c>
      <c r="X19" s="412"/>
      <c r="Y19" s="452">
        <f t="shared" si="5"/>
        <v>4372.7072692307684</v>
      </c>
      <c r="Z19" s="346"/>
      <c r="AA19" s="346"/>
      <c r="AB19" s="347">
        <f t="shared" si="6"/>
        <v>4372.7072692307684</v>
      </c>
      <c r="AC19" s="252">
        <v>5262.2</v>
      </c>
      <c r="AD19" s="211">
        <f t="shared" si="4"/>
        <v>-889.49273076923146</v>
      </c>
      <c r="AJ19" s="170"/>
      <c r="AR19" s="170"/>
      <c r="AT19" s="170"/>
    </row>
    <row r="20" spans="1:46">
      <c r="A20" s="178"/>
      <c r="B20" s="178" t="s">
        <v>172</v>
      </c>
      <c r="C20" s="184"/>
      <c r="D20" s="180">
        <f>PAREDES!N33</f>
        <v>8661.8286057692294</v>
      </c>
      <c r="E20" s="180">
        <f>PAREDES!N34</f>
        <v>46.746376602564098</v>
      </c>
      <c r="F20" s="440">
        <f t="shared" si="0"/>
        <v>8615.0822291666645</v>
      </c>
      <c r="G20" s="183">
        <f>PAREDES!N36</f>
        <v>1237.4040865384613</v>
      </c>
      <c r="H20" s="180">
        <f>PAREDES!N37</f>
        <v>0</v>
      </c>
      <c r="I20" s="438">
        <f t="shared" si="1"/>
        <v>9852.4863157051259</v>
      </c>
      <c r="J20" s="207"/>
      <c r="K20" s="343">
        <v>850</v>
      </c>
      <c r="L20" s="339"/>
      <c r="M20" s="296"/>
      <c r="N20" s="296"/>
      <c r="O20" s="345">
        <v>750</v>
      </c>
      <c r="P20" s="296">
        <v>100</v>
      </c>
      <c r="Q20" s="296"/>
      <c r="R20" s="296"/>
      <c r="S20" s="180"/>
      <c r="T20" s="180">
        <f t="shared" si="2"/>
        <v>1700</v>
      </c>
      <c r="U20" s="436">
        <f t="shared" si="3"/>
        <v>8152.4863157051259</v>
      </c>
      <c r="V20" s="252">
        <v>1000</v>
      </c>
      <c r="W20" s="416">
        <v>1622.25</v>
      </c>
      <c r="X20" s="409"/>
      <c r="Y20" s="452">
        <f t="shared" si="5"/>
        <v>5530.2363157051259</v>
      </c>
      <c r="Z20" s="346"/>
      <c r="AA20" s="346"/>
      <c r="AB20" s="347">
        <f t="shared" si="6"/>
        <v>5530.2363157051259</v>
      </c>
      <c r="AC20" s="252">
        <v>4438.57</v>
      </c>
      <c r="AD20" s="211">
        <f t="shared" si="4"/>
        <v>1091.6663157051262</v>
      </c>
      <c r="AJ20" s="170"/>
      <c r="AR20" s="170"/>
      <c r="AT20" s="170"/>
    </row>
    <row r="21" spans="1:46">
      <c r="A21" s="178"/>
      <c r="B21" s="178" t="s">
        <v>75</v>
      </c>
      <c r="C21" s="184"/>
      <c r="D21" s="180">
        <f>BUNGAY!N33</f>
        <v>6562.5</v>
      </c>
      <c r="E21" s="180">
        <f>BUNGAY!N34</f>
        <v>0</v>
      </c>
      <c r="F21" s="440">
        <f t="shared" si="0"/>
        <v>6562.5</v>
      </c>
      <c r="G21" s="183">
        <f>BUNGAY!N36</f>
        <v>703.125</v>
      </c>
      <c r="H21" s="180">
        <f>BUNGAY!N37</f>
        <v>0</v>
      </c>
      <c r="I21" s="438">
        <f t="shared" si="1"/>
        <v>7265.625</v>
      </c>
      <c r="J21" s="207"/>
      <c r="K21" s="343">
        <v>650</v>
      </c>
      <c r="L21" s="339"/>
      <c r="M21" s="296"/>
      <c r="N21" s="296"/>
      <c r="O21" s="345">
        <v>0</v>
      </c>
      <c r="P21" s="296">
        <v>100</v>
      </c>
      <c r="Q21" s="296"/>
      <c r="R21" s="296"/>
      <c r="S21" s="180"/>
      <c r="T21" s="180">
        <f t="shared" si="2"/>
        <v>750</v>
      </c>
      <c r="U21" s="436">
        <f t="shared" si="3"/>
        <v>6515.625</v>
      </c>
      <c r="V21" s="252">
        <v>500</v>
      </c>
      <c r="W21" s="415"/>
      <c r="X21" s="412"/>
      <c r="Y21" s="452">
        <f t="shared" si="5"/>
        <v>6015.625</v>
      </c>
      <c r="Z21" s="346"/>
      <c r="AA21" s="346"/>
      <c r="AB21" s="347">
        <f t="shared" si="6"/>
        <v>6015.625</v>
      </c>
      <c r="AC21" s="252">
        <v>6028.13</v>
      </c>
      <c r="AD21" s="211">
        <f t="shared" si="4"/>
        <v>-12.505000000000109</v>
      </c>
      <c r="AJ21" s="170"/>
      <c r="AR21" s="170"/>
      <c r="AT21" s="170"/>
    </row>
    <row r="22" spans="1:46">
      <c r="A22" s="295"/>
      <c r="B22" s="178" t="s">
        <v>86</v>
      </c>
      <c r="C22" s="184"/>
      <c r="D22" s="180">
        <f>BASA!N33</f>
        <v>8532.4161057692327</v>
      </c>
      <c r="E22" s="180">
        <f>BASA!N34</f>
        <v>570.18209214743604</v>
      </c>
      <c r="F22" s="440">
        <f t="shared" si="0"/>
        <v>7962.2340136217963</v>
      </c>
      <c r="G22" s="183">
        <f>BASA!N36</f>
        <v>0</v>
      </c>
      <c r="H22" s="180">
        <f>BASA!N37</f>
        <v>0</v>
      </c>
      <c r="I22" s="438">
        <f t="shared" si="1"/>
        <v>7962.2340136217963</v>
      </c>
      <c r="J22" s="207"/>
      <c r="K22" s="343">
        <v>850</v>
      </c>
      <c r="L22" s="339"/>
      <c r="M22" s="296"/>
      <c r="N22" s="296"/>
      <c r="O22" s="180"/>
      <c r="P22" s="296">
        <v>100</v>
      </c>
      <c r="Q22" s="296"/>
      <c r="R22" s="296"/>
      <c r="S22" s="180"/>
      <c r="T22" s="180">
        <f t="shared" si="2"/>
        <v>950</v>
      </c>
      <c r="U22" s="436">
        <f t="shared" si="3"/>
        <v>7012.2340136217963</v>
      </c>
      <c r="V22" s="252">
        <v>1000</v>
      </c>
      <c r="W22" s="416">
        <v>1734.11</v>
      </c>
      <c r="X22" s="409"/>
      <c r="Y22" s="452">
        <f t="shared" si="5"/>
        <v>4278.1240136217966</v>
      </c>
      <c r="Z22" s="346"/>
      <c r="AA22" s="346"/>
      <c r="AB22" s="347">
        <f t="shared" si="6"/>
        <v>4278.1240136217966</v>
      </c>
      <c r="AC22" s="252">
        <v>4335.01</v>
      </c>
      <c r="AD22" s="211">
        <f t="shared" si="4"/>
        <v>-56.885986378203597</v>
      </c>
      <c r="AJ22" s="170"/>
      <c r="AR22" s="170"/>
      <c r="AT22" s="170"/>
    </row>
    <row r="23" spans="1:46">
      <c r="A23" s="295"/>
      <c r="B23" s="178" t="s">
        <v>75</v>
      </c>
      <c r="C23" s="184"/>
      <c r="D23" s="180">
        <f>ADRIANO!N33</f>
        <v>6562.5</v>
      </c>
      <c r="E23" s="180">
        <f>ADRIANO!N34</f>
        <v>250.00000000000003</v>
      </c>
      <c r="F23" s="440">
        <f t="shared" ref="F23:F24" si="7">D23-E23</f>
        <v>6312.5</v>
      </c>
      <c r="G23" s="183">
        <f>ADRIANO!N36</f>
        <v>625</v>
      </c>
      <c r="H23" s="180">
        <f>ADRIANO!N37</f>
        <v>0</v>
      </c>
      <c r="I23" s="438">
        <f t="shared" ref="I23:I24" si="8">SUM(F23:H23)</f>
        <v>6937.5</v>
      </c>
      <c r="J23" s="207"/>
      <c r="K23" s="343">
        <v>650</v>
      </c>
      <c r="L23" s="339"/>
      <c r="M23" s="296"/>
      <c r="N23" s="296"/>
      <c r="O23" s="180"/>
      <c r="P23" s="296">
        <v>100</v>
      </c>
      <c r="Q23" s="296"/>
      <c r="R23" s="296"/>
      <c r="S23" s="180"/>
      <c r="T23" s="180">
        <f t="shared" ref="T23:T24" si="9">SUM(K23:R23)</f>
        <v>750</v>
      </c>
      <c r="U23" s="436">
        <f t="shared" ref="U23:U24" si="10">I23+J23+S23-T23</f>
        <v>6187.5</v>
      </c>
      <c r="W23" s="416"/>
      <c r="X23" s="409"/>
      <c r="Y23" s="452">
        <f t="shared" si="5"/>
        <v>6187.5</v>
      </c>
      <c r="Z23" s="346"/>
      <c r="AA23" s="346"/>
      <c r="AB23" s="347">
        <f t="shared" si="6"/>
        <v>6187.5</v>
      </c>
      <c r="AC23" s="252">
        <v>6184.38</v>
      </c>
      <c r="AD23" s="211">
        <f t="shared" si="4"/>
        <v>3.1199999999998909</v>
      </c>
      <c r="AJ23" s="170"/>
      <c r="AR23" s="170"/>
      <c r="AT23" s="170"/>
    </row>
    <row r="24" spans="1:46">
      <c r="A24" s="295"/>
      <c r="B24" s="178" t="s">
        <v>75</v>
      </c>
      <c r="C24" s="184"/>
      <c r="D24" s="180">
        <f>AZMAN!N33</f>
        <v>6562.5</v>
      </c>
      <c r="E24" s="180">
        <f>AZMAN!N34</f>
        <v>2937.5</v>
      </c>
      <c r="F24" s="440">
        <f t="shared" si="7"/>
        <v>3625</v>
      </c>
      <c r="G24" s="183">
        <f>AZMAN!N36</f>
        <v>234.375</v>
      </c>
      <c r="H24" s="180">
        <f>AZMAN!N37</f>
        <v>0</v>
      </c>
      <c r="I24" s="438">
        <f t="shared" si="8"/>
        <v>3859.375</v>
      </c>
      <c r="J24" s="207"/>
      <c r="K24" s="343">
        <v>650</v>
      </c>
      <c r="L24" s="339"/>
      <c r="M24" s="296"/>
      <c r="N24" s="296"/>
      <c r="O24" s="180"/>
      <c r="P24" s="296">
        <v>100</v>
      </c>
      <c r="Q24" s="296"/>
      <c r="R24" s="296"/>
      <c r="S24" s="180"/>
      <c r="T24" s="180">
        <f t="shared" si="9"/>
        <v>750</v>
      </c>
      <c r="U24" s="436">
        <f t="shared" si="10"/>
        <v>3109.375</v>
      </c>
      <c r="W24" s="416"/>
      <c r="X24" s="409"/>
      <c r="Y24" s="452">
        <f t="shared" si="5"/>
        <v>3109.375</v>
      </c>
      <c r="Z24" s="346"/>
      <c r="AA24" s="346"/>
      <c r="AB24" s="347">
        <v>0</v>
      </c>
      <c r="AD24" s="211">
        <v>0</v>
      </c>
      <c r="AJ24" s="170"/>
      <c r="AR24" s="170"/>
      <c r="AT24" s="170"/>
    </row>
    <row r="25" spans="1:46">
      <c r="A25" s="182"/>
      <c r="B25" s="178"/>
      <c r="C25" s="184"/>
      <c r="D25" s="180"/>
      <c r="E25" s="180"/>
      <c r="F25" s="440"/>
      <c r="G25" s="183"/>
      <c r="H25" s="180"/>
      <c r="I25" s="438"/>
      <c r="J25" s="207"/>
      <c r="K25" s="343"/>
      <c r="L25" s="339"/>
      <c r="M25" s="296"/>
      <c r="N25" s="296"/>
      <c r="O25" s="180"/>
      <c r="P25" s="296"/>
      <c r="Q25" s="296"/>
      <c r="R25" s="296"/>
      <c r="S25" s="180"/>
      <c r="T25" s="180"/>
      <c r="U25" s="436"/>
      <c r="W25" s="416"/>
      <c r="X25" s="409"/>
      <c r="Y25" s="452"/>
      <c r="Z25" s="346"/>
      <c r="AA25" s="346"/>
      <c r="AB25" s="347"/>
      <c r="AD25" s="211">
        <f t="shared" si="4"/>
        <v>0</v>
      </c>
      <c r="AJ25" s="170"/>
      <c r="AR25" s="170"/>
      <c r="AT25" s="170"/>
    </row>
    <row r="26" spans="1:46">
      <c r="A26" s="178"/>
      <c r="B26" s="178" t="s">
        <v>372</v>
      </c>
      <c r="C26" s="184"/>
      <c r="D26" s="180">
        <f>BARORO!N33</f>
        <v>6562.5</v>
      </c>
      <c r="E26" s="180">
        <f>BARORO!N34</f>
        <v>187.5</v>
      </c>
      <c r="F26" s="440">
        <f>D26-E26</f>
        <v>6375</v>
      </c>
      <c r="G26" s="183">
        <f>BARORO!N36</f>
        <v>1015.625</v>
      </c>
      <c r="H26" s="180">
        <f>BARORO!N37</f>
        <v>0</v>
      </c>
      <c r="I26" s="438">
        <f>SUM(F26:H26)</f>
        <v>7390.625</v>
      </c>
      <c r="J26" s="207">
        <v>1300</v>
      </c>
      <c r="K26" s="343">
        <v>650</v>
      </c>
      <c r="L26" s="339"/>
      <c r="M26" s="296"/>
      <c r="N26" s="296"/>
      <c r="O26" s="345">
        <v>0</v>
      </c>
      <c r="P26" s="296">
        <v>100</v>
      </c>
      <c r="Q26" s="296"/>
      <c r="R26" s="296"/>
      <c r="S26" s="180"/>
      <c r="T26" s="180">
        <f>SUM(K26:R26)</f>
        <v>750</v>
      </c>
      <c r="U26" s="436">
        <f>I26+J26+S26-T26</f>
        <v>7940.625</v>
      </c>
      <c r="V26" s="252">
        <v>1000</v>
      </c>
      <c r="W26" s="416">
        <v>322.94</v>
      </c>
      <c r="X26" s="409"/>
      <c r="Y26" s="452">
        <f t="shared" si="5"/>
        <v>6617.6849999999995</v>
      </c>
      <c r="Z26" s="346"/>
      <c r="AA26" s="346"/>
      <c r="AB26" s="347">
        <f>Y26+Z26+AA26</f>
        <v>6617.6849999999995</v>
      </c>
      <c r="AC26" s="252">
        <v>5770.81</v>
      </c>
      <c r="AD26" s="211">
        <f t="shared" si="4"/>
        <v>846.87499999999909</v>
      </c>
      <c r="AJ26" s="170"/>
      <c r="AR26" s="170"/>
      <c r="AT26" s="170"/>
    </row>
    <row r="27" spans="1:46">
      <c r="A27" s="178"/>
      <c r="B27" s="178" t="s">
        <v>373</v>
      </c>
      <c r="C27" s="184"/>
      <c r="D27" s="180">
        <f>RUIZ!N33</f>
        <v>6562.5</v>
      </c>
      <c r="E27" s="180">
        <f>RUIZ!N34</f>
        <v>3.125</v>
      </c>
      <c r="F27" s="440">
        <f>D27-E27</f>
        <v>6559.375</v>
      </c>
      <c r="G27" s="183">
        <f>RUIZ!N36</f>
        <v>1015.625</v>
      </c>
      <c r="H27" s="180">
        <f>RUIZ!N37</f>
        <v>0</v>
      </c>
      <c r="I27" s="438">
        <f>SUM(F27:H27)</f>
        <v>7575</v>
      </c>
      <c r="J27" s="207">
        <v>0</v>
      </c>
      <c r="K27" s="343">
        <v>650</v>
      </c>
      <c r="L27" s="339"/>
      <c r="M27" s="296"/>
      <c r="N27" s="296"/>
      <c r="O27" s="345">
        <v>0</v>
      </c>
      <c r="P27" s="296">
        <v>100</v>
      </c>
      <c r="Q27" s="296"/>
      <c r="R27" s="296"/>
      <c r="S27" s="180"/>
      <c r="T27" s="180">
        <f>SUM(K27:R27)</f>
        <v>750</v>
      </c>
      <c r="U27" s="436">
        <f>I27+J27+S27-T27</f>
        <v>6825</v>
      </c>
      <c r="W27" s="416"/>
      <c r="X27" s="409"/>
      <c r="Y27" s="452">
        <f t="shared" si="5"/>
        <v>6825</v>
      </c>
      <c r="Z27" s="346"/>
      <c r="AA27" s="346"/>
      <c r="AB27" s="347">
        <f>Y27+Z27+AA27</f>
        <v>6825</v>
      </c>
      <c r="AC27" s="252">
        <v>5981.25</v>
      </c>
      <c r="AD27" s="211">
        <f t="shared" si="4"/>
        <v>843.75</v>
      </c>
    </row>
    <row r="28" spans="1:46" ht="12.75">
      <c r="A28" s="182"/>
      <c r="B28" s="178"/>
      <c r="C28" s="179"/>
      <c r="D28" s="180"/>
      <c r="E28" s="180"/>
      <c r="F28" s="440">
        <f t="shared" si="0"/>
        <v>0</v>
      </c>
      <c r="G28" s="178"/>
      <c r="H28" s="180"/>
      <c r="I28" s="438">
        <f t="shared" si="1"/>
        <v>0</v>
      </c>
      <c r="J28" s="207"/>
      <c r="K28" s="344"/>
      <c r="L28" s="340"/>
      <c r="M28" s="178"/>
      <c r="N28" s="296"/>
      <c r="O28" s="345"/>
      <c r="P28" s="296"/>
      <c r="Q28" s="296"/>
      <c r="R28" s="296"/>
      <c r="S28" s="180"/>
      <c r="T28" s="180">
        <f t="shared" si="2"/>
        <v>0</v>
      </c>
      <c r="U28" s="436">
        <f t="shared" si="3"/>
        <v>0</v>
      </c>
      <c r="Y28" s="452">
        <f t="shared" si="5"/>
        <v>0</v>
      </c>
      <c r="Z28" s="346"/>
      <c r="AA28" s="346"/>
      <c r="AB28" s="347">
        <f t="shared" si="6"/>
        <v>0</v>
      </c>
      <c r="AD28" s="211">
        <f t="shared" si="4"/>
        <v>0</v>
      </c>
    </row>
    <row r="29" spans="1:46">
      <c r="A29" s="178"/>
      <c r="B29" s="178" t="s">
        <v>458</v>
      </c>
      <c r="C29" s="184"/>
      <c r="D29" s="180">
        <f>GAID!N33</f>
        <v>9020</v>
      </c>
      <c r="E29" s="180">
        <f>GAID!N34</f>
        <v>346.92307692307691</v>
      </c>
      <c r="F29" s="440">
        <f t="shared" si="0"/>
        <v>8673.0769230769238</v>
      </c>
      <c r="G29" s="183">
        <f>GAID!N36</f>
        <v>0</v>
      </c>
      <c r="H29" s="180">
        <f>GAID!N37</f>
        <v>0</v>
      </c>
      <c r="I29" s="438">
        <f t="shared" si="1"/>
        <v>8673.0769230769238</v>
      </c>
      <c r="J29" s="207">
        <v>0</v>
      </c>
      <c r="K29" s="343">
        <v>900</v>
      </c>
      <c r="L29" s="339">
        <v>0</v>
      </c>
      <c r="M29" s="296">
        <v>600</v>
      </c>
      <c r="N29" s="296">
        <v>800</v>
      </c>
      <c r="O29" s="345">
        <v>0</v>
      </c>
      <c r="P29" s="296">
        <v>200</v>
      </c>
      <c r="Q29" s="296"/>
      <c r="R29" s="296">
        <v>0</v>
      </c>
      <c r="S29" s="180"/>
      <c r="T29" s="180">
        <f t="shared" si="2"/>
        <v>2500</v>
      </c>
      <c r="U29" s="436">
        <f t="shared" si="3"/>
        <v>6173.0769230769238</v>
      </c>
      <c r="V29" s="252">
        <v>2000</v>
      </c>
      <c r="W29" s="415">
        <v>3500</v>
      </c>
      <c r="X29" s="412"/>
      <c r="Y29" s="452">
        <f t="shared" si="5"/>
        <v>673.07692307692378</v>
      </c>
      <c r="Z29" s="346"/>
      <c r="AA29" s="346">
        <f>Y62</f>
        <v>7627.8846153846152</v>
      </c>
      <c r="AB29" s="347">
        <f t="shared" si="6"/>
        <v>8300.961538461539</v>
      </c>
      <c r="AC29" s="252">
        <v>6788.65</v>
      </c>
      <c r="AD29" s="211">
        <f t="shared" si="4"/>
        <v>1512.3115384615394</v>
      </c>
    </row>
    <row r="30" spans="1:46">
      <c r="A30" s="178"/>
      <c r="B30" s="178" t="s">
        <v>93</v>
      </c>
      <c r="C30" s="184"/>
      <c r="D30" s="180">
        <f>GUERZO!N33</f>
        <v>10270</v>
      </c>
      <c r="E30" s="180">
        <f>GUERZO!N34</f>
        <v>0</v>
      </c>
      <c r="F30" s="440">
        <f t="shared" si="0"/>
        <v>10270</v>
      </c>
      <c r="G30" s="178"/>
      <c r="H30" s="180">
        <f>GUERZO!N37</f>
        <v>0</v>
      </c>
      <c r="I30" s="438">
        <f t="shared" si="1"/>
        <v>10270</v>
      </c>
      <c r="J30" s="207">
        <v>2500</v>
      </c>
      <c r="K30" s="343">
        <v>1025</v>
      </c>
      <c r="L30" s="339"/>
      <c r="M30" s="296"/>
      <c r="N30" s="296">
        <v>1000</v>
      </c>
      <c r="O30" s="345">
        <v>3500</v>
      </c>
      <c r="P30" s="296">
        <v>100</v>
      </c>
      <c r="Q30" s="296"/>
      <c r="R30" s="296"/>
      <c r="S30" s="180"/>
      <c r="T30" s="180">
        <f t="shared" si="2"/>
        <v>5625</v>
      </c>
      <c r="U30" s="436">
        <f t="shared" si="3"/>
        <v>7145</v>
      </c>
      <c r="V30" s="252">
        <v>1000</v>
      </c>
      <c r="W30" s="415">
        <v>3500</v>
      </c>
      <c r="X30" s="412"/>
      <c r="Y30" s="452">
        <f t="shared" si="5"/>
        <v>2645</v>
      </c>
      <c r="Z30" s="346"/>
      <c r="AA30" s="346"/>
      <c r="AB30" s="347">
        <f t="shared" si="6"/>
        <v>2645</v>
      </c>
      <c r="AC30" s="252">
        <v>2645</v>
      </c>
      <c r="AD30" s="211">
        <f t="shared" si="4"/>
        <v>0</v>
      </c>
    </row>
    <row r="31" spans="1:46">
      <c r="A31" s="178"/>
      <c r="B31" s="178" t="s">
        <v>97</v>
      </c>
      <c r="C31" s="184"/>
      <c r="D31" s="183">
        <f>MACATANGAY!N33</f>
        <v>8520</v>
      </c>
      <c r="E31" s="180">
        <f>MACATANGAY!N34</f>
        <v>0</v>
      </c>
      <c r="F31" s="440">
        <f t="shared" si="0"/>
        <v>8520</v>
      </c>
      <c r="G31" s="178"/>
      <c r="H31" s="183">
        <f>MACATANGAY!N37</f>
        <v>0</v>
      </c>
      <c r="I31" s="438">
        <f t="shared" si="1"/>
        <v>8520</v>
      </c>
      <c r="J31" s="207">
        <v>1000</v>
      </c>
      <c r="K31" s="343">
        <v>850</v>
      </c>
      <c r="L31" s="340"/>
      <c r="M31" s="178"/>
      <c r="N31" s="296"/>
      <c r="O31" s="345"/>
      <c r="P31" s="296">
        <v>100</v>
      </c>
      <c r="Q31" s="296">
        <v>500</v>
      </c>
      <c r="R31" s="296">
        <v>250</v>
      </c>
      <c r="S31" s="180"/>
      <c r="T31" s="180">
        <f t="shared" si="2"/>
        <v>1700</v>
      </c>
      <c r="U31" s="436">
        <f t="shared" si="3"/>
        <v>7820</v>
      </c>
      <c r="V31" s="252">
        <v>1000</v>
      </c>
      <c r="W31" s="415">
        <v>2061.65</v>
      </c>
      <c r="X31" s="412"/>
      <c r="Y31" s="452">
        <f t="shared" si="5"/>
        <v>4758.3500000000004</v>
      </c>
      <c r="Z31" s="346"/>
      <c r="AA31" s="346"/>
      <c r="AB31" s="347">
        <f t="shared" si="6"/>
        <v>4758.3500000000004</v>
      </c>
      <c r="AC31" s="252">
        <v>5008.3500000000004</v>
      </c>
      <c r="AD31" s="211">
        <f t="shared" si="4"/>
        <v>-250</v>
      </c>
    </row>
    <row r="32" spans="1:46">
      <c r="A32" s="178"/>
      <c r="B32" s="178" t="s">
        <v>199</v>
      </c>
      <c r="C32" s="184"/>
      <c r="D32" s="180">
        <f>ALEJANDRINO!N33</f>
        <v>8579.3349999999991</v>
      </c>
      <c r="E32" s="180">
        <f>ALEJANDRINO!N34</f>
        <v>0</v>
      </c>
      <c r="F32" s="440">
        <f t="shared" si="0"/>
        <v>8579.3349999999991</v>
      </c>
      <c r="G32" s="180"/>
      <c r="H32" s="180">
        <f>ALEJANDRINO!N37</f>
        <v>0</v>
      </c>
      <c r="I32" s="438">
        <f t="shared" si="1"/>
        <v>8579.3349999999991</v>
      </c>
      <c r="J32" s="207">
        <v>1500</v>
      </c>
      <c r="K32" s="343">
        <v>850</v>
      </c>
      <c r="L32" s="339"/>
      <c r="M32" s="296"/>
      <c r="N32" s="296">
        <v>750</v>
      </c>
      <c r="O32" s="345"/>
      <c r="P32" s="296">
        <v>100</v>
      </c>
      <c r="Q32" s="296"/>
      <c r="R32" s="296"/>
      <c r="S32" s="180"/>
      <c r="T32" s="180">
        <f t="shared" si="2"/>
        <v>1700</v>
      </c>
      <c r="U32" s="436">
        <f t="shared" si="3"/>
        <v>8379.3349999999991</v>
      </c>
      <c r="V32" s="252">
        <v>2000</v>
      </c>
      <c r="W32" s="411">
        <v>2668.94</v>
      </c>
      <c r="X32" s="411"/>
      <c r="Y32" s="452">
        <f t="shared" si="5"/>
        <v>3710.3949999999986</v>
      </c>
      <c r="Z32" s="346"/>
      <c r="AA32" s="346"/>
      <c r="AB32" s="347">
        <f t="shared" si="6"/>
        <v>3710.3949999999986</v>
      </c>
      <c r="AC32" s="252">
        <v>3710.4</v>
      </c>
      <c r="AD32" s="211">
        <f t="shared" si="4"/>
        <v>-5.0000000014733814E-3</v>
      </c>
    </row>
    <row r="33" spans="1:34" ht="12" customHeight="1">
      <c r="A33" s="178"/>
      <c r="B33" s="178" t="s">
        <v>437</v>
      </c>
      <c r="C33" s="184"/>
      <c r="D33" s="180">
        <f>'DELA CRUZ'!N33</f>
        <v>7067.3076923076924</v>
      </c>
      <c r="E33" s="180">
        <f>'DELA CRUZ'!N34</f>
        <v>816.66666666666674</v>
      </c>
      <c r="F33" s="440">
        <f>D33-E33</f>
        <v>6250.6410256410254</v>
      </c>
      <c r="G33" s="183">
        <f>'DELA CRUZ'!N36</f>
        <v>0</v>
      </c>
      <c r="H33" s="180">
        <f>'DELA CRUZ'!N37</f>
        <v>0</v>
      </c>
      <c r="I33" s="438">
        <f>SUM(F33:H33)</f>
        <v>6250.6410256410254</v>
      </c>
      <c r="J33" s="207">
        <v>0</v>
      </c>
      <c r="K33" s="343">
        <v>700</v>
      </c>
      <c r="L33" s="340"/>
      <c r="M33" s="178"/>
      <c r="N33" s="296">
        <v>0</v>
      </c>
      <c r="O33" s="345"/>
      <c r="P33" s="296">
        <v>100</v>
      </c>
      <c r="Q33" s="296"/>
      <c r="R33" s="296"/>
      <c r="S33" s="296"/>
      <c r="T33" s="180">
        <f>SUM(K33:R33)</f>
        <v>800</v>
      </c>
      <c r="U33" s="436">
        <f>I33+J33+S33-T33</f>
        <v>5450.6410256410254</v>
      </c>
      <c r="V33" s="252">
        <v>1000</v>
      </c>
      <c r="W33" s="415">
        <v>961.59</v>
      </c>
      <c r="X33" s="412"/>
      <c r="Y33" s="452">
        <f>U33-SUM(V33:X33)</f>
        <v>3489.0510256410253</v>
      </c>
      <c r="Z33" s="346"/>
      <c r="AA33" s="346">
        <f>Y59</f>
        <v>3137.62</v>
      </c>
      <c r="AB33" s="347">
        <f>Y33+Z33+AA33</f>
        <v>6626.6710256410252</v>
      </c>
      <c r="AC33" s="252">
        <v>6798.15</v>
      </c>
      <c r="AD33" s="211">
        <f t="shared" si="4"/>
        <v>-171.47897435897448</v>
      </c>
      <c r="AE33" s="422"/>
    </row>
    <row r="34" spans="1:34" ht="12" customHeight="1">
      <c r="A34" s="178"/>
      <c r="B34" s="178" t="s">
        <v>363</v>
      </c>
      <c r="C34" s="184"/>
      <c r="D34" s="180">
        <f>ABREA!N33</f>
        <v>6000</v>
      </c>
      <c r="E34" s="296">
        <f>ABREA!N34</f>
        <v>0</v>
      </c>
      <c r="F34" s="440">
        <f t="shared" si="0"/>
        <v>6000</v>
      </c>
      <c r="G34" s="296">
        <f>ABREA!N36</f>
        <v>312.5</v>
      </c>
      <c r="H34" s="180">
        <f>ABREA!N37</f>
        <v>0</v>
      </c>
      <c r="I34" s="438">
        <f t="shared" si="1"/>
        <v>6312.5</v>
      </c>
      <c r="J34" s="207">
        <v>0</v>
      </c>
      <c r="K34" s="342">
        <v>650</v>
      </c>
      <c r="L34" s="178"/>
      <c r="M34" s="178"/>
      <c r="N34" s="296"/>
      <c r="O34" s="345"/>
      <c r="P34" s="296">
        <v>100</v>
      </c>
      <c r="Q34" s="296">
        <v>750</v>
      </c>
      <c r="R34" s="296">
        <v>250</v>
      </c>
      <c r="S34" s="296">
        <v>0</v>
      </c>
      <c r="T34" s="180">
        <f t="shared" si="2"/>
        <v>1750</v>
      </c>
      <c r="U34" s="436">
        <f t="shared" si="3"/>
        <v>4562.5</v>
      </c>
      <c r="V34" s="252">
        <v>3000</v>
      </c>
      <c r="W34" s="411">
        <v>822.16</v>
      </c>
      <c r="X34" s="411"/>
      <c r="Y34" s="452">
        <f t="shared" si="5"/>
        <v>740.34000000000015</v>
      </c>
      <c r="Z34" s="346"/>
      <c r="AA34" s="346"/>
      <c r="AB34" s="347">
        <f t="shared" si="6"/>
        <v>740.34000000000015</v>
      </c>
      <c r="AC34" s="252">
        <v>1409.09</v>
      </c>
      <c r="AD34" s="211">
        <f t="shared" si="4"/>
        <v>-668.74999999999977</v>
      </c>
      <c r="AE34" s="421"/>
    </row>
    <row r="35" spans="1:34">
      <c r="A35" s="178"/>
      <c r="B35" s="178" t="s">
        <v>97</v>
      </c>
      <c r="C35" s="184"/>
      <c r="D35" s="183">
        <v>7500</v>
      </c>
      <c r="E35" s="296"/>
      <c r="F35" s="440">
        <f t="shared" ref="F35:F36" si="11">D35-E35</f>
        <v>7500</v>
      </c>
      <c r="G35" s="296"/>
      <c r="H35" s="183"/>
      <c r="I35" s="438">
        <f t="shared" ref="I35:I36" si="12">SUM(F35:H35)</f>
        <v>7500</v>
      </c>
      <c r="J35" s="207">
        <v>2500</v>
      </c>
      <c r="K35" s="342">
        <v>750</v>
      </c>
      <c r="L35" s="178"/>
      <c r="M35" s="178"/>
      <c r="N35" s="296"/>
      <c r="O35" s="345"/>
      <c r="P35" s="296">
        <v>100</v>
      </c>
      <c r="Q35" s="296">
        <v>0</v>
      </c>
      <c r="R35" s="296"/>
      <c r="S35" s="296">
        <v>0</v>
      </c>
      <c r="T35" s="180">
        <f t="shared" ref="T35" si="13">SUM(K35:R35)</f>
        <v>850</v>
      </c>
      <c r="U35" s="436">
        <f t="shared" ref="U35" si="14">I35+J35+S35-T35</f>
        <v>9150</v>
      </c>
      <c r="V35" s="252">
        <v>2000</v>
      </c>
      <c r="W35" s="411">
        <v>2055.41</v>
      </c>
      <c r="X35" s="411"/>
      <c r="Y35" s="452">
        <f t="shared" si="5"/>
        <v>5094.59</v>
      </c>
      <c r="Z35" s="346"/>
      <c r="AA35" s="346">
        <f>-Y35</f>
        <v>-5094.59</v>
      </c>
      <c r="AB35" s="347">
        <f t="shared" ref="AB35" si="15">Y35+Z35+AA35</f>
        <v>0</v>
      </c>
      <c r="AD35" s="211">
        <f t="shared" si="4"/>
        <v>0</v>
      </c>
    </row>
    <row r="36" spans="1:34" ht="12" customHeight="1">
      <c r="A36" s="178"/>
      <c r="B36" s="178" t="s">
        <v>97</v>
      </c>
      <c r="C36" s="184"/>
      <c r="D36" s="183">
        <v>7500</v>
      </c>
      <c r="E36" s="296"/>
      <c r="F36" s="440">
        <f t="shared" si="11"/>
        <v>7500</v>
      </c>
      <c r="G36" s="296"/>
      <c r="H36" s="183"/>
      <c r="I36" s="438">
        <f t="shared" si="12"/>
        <v>7500</v>
      </c>
      <c r="J36" s="207">
        <v>2500</v>
      </c>
      <c r="K36" s="342">
        <v>750</v>
      </c>
      <c r="L36" s="340"/>
      <c r="M36" s="178"/>
      <c r="N36" s="296"/>
      <c r="O36" s="345"/>
      <c r="P36" s="296">
        <v>100</v>
      </c>
      <c r="Q36" s="296">
        <v>1250</v>
      </c>
      <c r="R36" s="296"/>
      <c r="S36" s="296"/>
      <c r="T36" s="180">
        <f t="shared" ref="T36" si="16">SUM(K36:R36)</f>
        <v>2100</v>
      </c>
      <c r="U36" s="436">
        <f t="shared" ref="U36" si="17">I36+J36+S36-T36</f>
        <v>7900</v>
      </c>
      <c r="W36" s="411"/>
      <c r="X36" s="411"/>
      <c r="Y36" s="452">
        <f t="shared" si="5"/>
        <v>7900</v>
      </c>
      <c r="Z36" s="346"/>
      <c r="AA36" s="346">
        <f>-Y36</f>
        <v>-7900</v>
      </c>
      <c r="AB36" s="347">
        <f t="shared" ref="AB36" si="18">Y36+Z36+AA36</f>
        <v>0</v>
      </c>
      <c r="AD36" s="211">
        <f t="shared" si="4"/>
        <v>0</v>
      </c>
      <c r="AE36" s="421"/>
    </row>
    <row r="37" spans="1:34">
      <c r="A37" s="178"/>
      <c r="B37" s="178" t="s">
        <v>97</v>
      </c>
      <c r="C37" s="184"/>
      <c r="D37" s="183">
        <v>7500</v>
      </c>
      <c r="E37" s="296"/>
      <c r="F37" s="440">
        <f t="shared" ref="F37:F38" si="19">D37-E37</f>
        <v>7500</v>
      </c>
      <c r="G37" s="296"/>
      <c r="H37" s="183"/>
      <c r="I37" s="438">
        <f t="shared" ref="I37:I38" si="20">SUM(F37:H37)</f>
        <v>7500</v>
      </c>
      <c r="J37" s="207">
        <v>2500</v>
      </c>
      <c r="K37" s="342">
        <v>750</v>
      </c>
      <c r="L37" s="340"/>
      <c r="M37" s="178"/>
      <c r="N37" s="296"/>
      <c r="O37" s="345"/>
      <c r="P37" s="296">
        <v>100</v>
      </c>
      <c r="Q37" s="296">
        <v>0</v>
      </c>
      <c r="R37" s="296"/>
      <c r="S37" s="296"/>
      <c r="T37" s="180">
        <f t="shared" ref="T37:T38" si="21">SUM(K37:R37)</f>
        <v>850</v>
      </c>
      <c r="U37" s="436">
        <f t="shared" ref="U37:U38" si="22">I37+J37+S37-T37</f>
        <v>9150</v>
      </c>
      <c r="W37" s="411"/>
      <c r="X37" s="411"/>
      <c r="Y37" s="452">
        <f t="shared" ref="Y37:Y38" si="23">U37-SUM(V37:X37)</f>
        <v>9150</v>
      </c>
      <c r="Z37" s="346"/>
      <c r="AA37" s="346">
        <f>-Y37</f>
        <v>-9150</v>
      </c>
      <c r="AB37" s="347">
        <f t="shared" ref="AB37" si="24">Y37+Z37+AA37</f>
        <v>0</v>
      </c>
      <c r="AD37" s="211">
        <f t="shared" si="4"/>
        <v>0</v>
      </c>
      <c r="AH37" s="252"/>
    </row>
    <row r="38" spans="1:34">
      <c r="A38" s="178"/>
      <c r="B38" s="178" t="s">
        <v>459</v>
      </c>
      <c r="C38" s="184"/>
      <c r="D38" s="183">
        <f>ELEAZAR!N33</f>
        <v>6562.5</v>
      </c>
      <c r="E38" s="296">
        <f>ELEAZAR!N34</f>
        <v>3750</v>
      </c>
      <c r="F38" s="440">
        <f t="shared" si="19"/>
        <v>2812.5</v>
      </c>
      <c r="G38" s="296">
        <f>ELEAZAR!N36</f>
        <v>468.75</v>
      </c>
      <c r="H38" s="183">
        <f>ELEAZAR!N37</f>
        <v>0</v>
      </c>
      <c r="I38" s="438">
        <f t="shared" si="20"/>
        <v>3281.25</v>
      </c>
      <c r="J38" s="207"/>
      <c r="K38" s="342"/>
      <c r="L38" s="340"/>
      <c r="M38" s="178"/>
      <c r="N38" s="296"/>
      <c r="O38" s="345"/>
      <c r="P38" s="296">
        <v>0</v>
      </c>
      <c r="Q38" s="296"/>
      <c r="R38" s="296"/>
      <c r="S38" s="296"/>
      <c r="T38" s="180">
        <f t="shared" si="21"/>
        <v>0</v>
      </c>
      <c r="U38" s="436">
        <f t="shared" si="22"/>
        <v>3281.25</v>
      </c>
      <c r="W38" s="411"/>
      <c r="X38" s="411"/>
      <c r="Y38" s="452">
        <f t="shared" si="23"/>
        <v>3281.25</v>
      </c>
      <c r="Z38" s="346"/>
      <c r="AA38" s="346">
        <v>0</v>
      </c>
      <c r="AB38" s="347">
        <v>0</v>
      </c>
      <c r="AD38" s="211"/>
      <c r="AH38" s="252"/>
    </row>
    <row r="39" spans="1:34" ht="12.75">
      <c r="A39" s="182"/>
      <c r="B39" s="178"/>
      <c r="C39" s="179"/>
      <c r="D39" s="183"/>
      <c r="E39" s="180"/>
      <c r="F39" s="440">
        <f t="shared" si="0"/>
        <v>0</v>
      </c>
      <c r="G39" s="178"/>
      <c r="H39" s="183"/>
      <c r="I39" s="438">
        <f t="shared" si="1"/>
        <v>0</v>
      </c>
      <c r="J39" s="207"/>
      <c r="K39" s="344"/>
      <c r="L39" s="339"/>
      <c r="M39" s="296"/>
      <c r="N39" s="296"/>
      <c r="O39" s="345"/>
      <c r="P39" s="296"/>
      <c r="Q39" s="296"/>
      <c r="R39" s="296"/>
      <c r="S39" s="180"/>
      <c r="T39" s="180">
        <f t="shared" si="2"/>
        <v>0</v>
      </c>
      <c r="U39" s="436">
        <f t="shared" si="3"/>
        <v>0</v>
      </c>
      <c r="W39" s="416"/>
      <c r="X39" s="409"/>
      <c r="Y39" s="452"/>
      <c r="Z39" s="346"/>
      <c r="AA39" s="346"/>
      <c r="AB39" s="347"/>
      <c r="AD39" s="211">
        <f t="shared" si="4"/>
        <v>0</v>
      </c>
      <c r="AH39" s="252"/>
    </row>
    <row r="40" spans="1:34">
      <c r="A40" s="178"/>
      <c r="B40" s="178" t="s">
        <v>104</v>
      </c>
      <c r="C40" s="184"/>
      <c r="D40" s="180">
        <f>ACOMPAÑADO!N33</f>
        <v>9106.7307692307695</v>
      </c>
      <c r="E40" s="180">
        <f>ACOMPAÑADO!N34</f>
        <v>2892.4711538461543</v>
      </c>
      <c r="F40" s="440">
        <f t="shared" si="0"/>
        <v>6214.2596153846152</v>
      </c>
      <c r="G40" s="183">
        <f>ACOMPAÑADO!N36</f>
        <v>0</v>
      </c>
      <c r="H40" s="180">
        <f>ACOMPAÑADO!N37</f>
        <v>0</v>
      </c>
      <c r="I40" s="438">
        <f t="shared" si="1"/>
        <v>6214.2596153846152</v>
      </c>
      <c r="J40" s="207">
        <v>1500</v>
      </c>
      <c r="K40" s="343">
        <v>900</v>
      </c>
      <c r="L40" s="339"/>
      <c r="M40" s="296">
        <v>600</v>
      </c>
      <c r="N40" s="296">
        <v>1000</v>
      </c>
      <c r="O40" s="345">
        <v>2000</v>
      </c>
      <c r="P40" s="296">
        <v>100</v>
      </c>
      <c r="Q40" s="296">
        <v>750</v>
      </c>
      <c r="R40" s="296"/>
      <c r="S40" s="180"/>
      <c r="T40" s="180">
        <f t="shared" si="2"/>
        <v>5350</v>
      </c>
      <c r="U40" s="436">
        <f t="shared" si="3"/>
        <v>2364.2596153846152</v>
      </c>
      <c r="V40" s="252">
        <v>2500</v>
      </c>
      <c r="W40" s="415">
        <v>1000</v>
      </c>
      <c r="X40" s="412"/>
      <c r="Y40" s="452">
        <f t="shared" si="5"/>
        <v>-1135.7403846153848</v>
      </c>
      <c r="Z40" s="346">
        <f>V67+W67+X67+P64</f>
        <v>99534.049999999988</v>
      </c>
      <c r="AA40" s="346"/>
      <c r="AB40" s="347">
        <f t="shared" si="6"/>
        <v>98398.309615384598</v>
      </c>
      <c r="AC40" s="252">
        <v>121866.96</v>
      </c>
      <c r="AD40" s="211">
        <f t="shared" si="4"/>
        <v>-23468.650384615408</v>
      </c>
      <c r="AH40" s="252"/>
    </row>
    <row r="41" spans="1:34">
      <c r="A41" s="178"/>
      <c r="B41" s="178" t="s">
        <v>106</v>
      </c>
      <c r="C41" s="191"/>
      <c r="D41" s="180">
        <f>CONSUELO!N33</f>
        <v>10520</v>
      </c>
      <c r="E41" s="180">
        <f>CONSUELO!N34</f>
        <v>2023.0769230769233</v>
      </c>
      <c r="F41" s="440">
        <f t="shared" si="0"/>
        <v>8496.9230769230762</v>
      </c>
      <c r="G41" s="178"/>
      <c r="H41" s="180">
        <f>CONSUELO!N37</f>
        <v>0</v>
      </c>
      <c r="I41" s="438">
        <f t="shared" si="1"/>
        <v>8496.9230769230762</v>
      </c>
      <c r="J41" s="207">
        <v>1000</v>
      </c>
      <c r="K41" s="343">
        <v>1050</v>
      </c>
      <c r="L41" s="339"/>
      <c r="M41" s="296"/>
      <c r="N41" s="296">
        <v>1500</v>
      </c>
      <c r="O41" s="345">
        <v>1000</v>
      </c>
      <c r="P41" s="296">
        <v>100</v>
      </c>
      <c r="Q41" s="296">
        <v>1500</v>
      </c>
      <c r="R41" s="296"/>
      <c r="S41" s="180"/>
      <c r="T41" s="180">
        <f t="shared" si="2"/>
        <v>5150</v>
      </c>
      <c r="U41" s="436">
        <f t="shared" si="3"/>
        <v>4346.9230769230762</v>
      </c>
      <c r="V41" s="252">
        <v>2500</v>
      </c>
      <c r="W41" s="415">
        <v>2500</v>
      </c>
      <c r="X41" s="412"/>
      <c r="Y41" s="452">
        <f t="shared" si="5"/>
        <v>-653.07692307692378</v>
      </c>
      <c r="Z41" s="346"/>
      <c r="AA41" s="346"/>
      <c r="AB41" s="347">
        <f t="shared" si="6"/>
        <v>-653.07692307692378</v>
      </c>
      <c r="AC41" s="252">
        <v>965.38</v>
      </c>
      <c r="AD41" s="211">
        <f t="shared" si="4"/>
        <v>-1618.4569230769239</v>
      </c>
      <c r="AH41" s="252"/>
    </row>
    <row r="42" spans="1:34">
      <c r="A42" s="178"/>
      <c r="B42" s="178" t="s">
        <v>108</v>
      </c>
      <c r="C42" s="184"/>
      <c r="D42" s="180">
        <f>'Accntng Clerk Salary Sample  '!N33</f>
        <v>8661.8286057692294</v>
      </c>
      <c r="E42" s="180">
        <f>'Accntng Clerk Salary Sample  '!N34</f>
        <v>1653.996795673077</v>
      </c>
      <c r="F42" s="440">
        <f t="shared" si="0"/>
        <v>7007.8318100961524</v>
      </c>
      <c r="G42" s="183">
        <f>'Accntng Clerk Salary Sample  '!N36</f>
        <v>412.46802884615374</v>
      </c>
      <c r="H42" s="180">
        <f>'Accntng Clerk Salary Sample  '!N37</f>
        <v>0</v>
      </c>
      <c r="I42" s="438">
        <f t="shared" si="1"/>
        <v>7420.2998389423065</v>
      </c>
      <c r="J42" s="207"/>
      <c r="K42" s="343">
        <v>850</v>
      </c>
      <c r="L42" s="339"/>
      <c r="M42" s="296">
        <v>500</v>
      </c>
      <c r="N42" s="296">
        <v>500</v>
      </c>
      <c r="O42" s="345">
        <v>2000</v>
      </c>
      <c r="P42" s="296">
        <v>100</v>
      </c>
      <c r="Q42" s="296"/>
      <c r="R42" s="296"/>
      <c r="S42" s="180"/>
      <c r="T42" s="180">
        <f t="shared" si="2"/>
        <v>3950</v>
      </c>
      <c r="U42" s="436">
        <f t="shared" si="3"/>
        <v>3470.2998389423065</v>
      </c>
      <c r="V42" s="252">
        <v>1500</v>
      </c>
      <c r="W42" s="412">
        <v>2000</v>
      </c>
      <c r="X42" s="412"/>
      <c r="Y42" s="452">
        <f t="shared" si="5"/>
        <v>-29.700161057693549</v>
      </c>
      <c r="Z42" s="346"/>
      <c r="AA42" s="346"/>
      <c r="AB42" s="347">
        <f t="shared" si="6"/>
        <v>-29.700161057693549</v>
      </c>
      <c r="AC42" s="252">
        <v>737.49</v>
      </c>
      <c r="AD42" s="211">
        <f t="shared" si="4"/>
        <v>-767.19016105769356</v>
      </c>
      <c r="AH42" s="252"/>
    </row>
    <row r="43" spans="1:34">
      <c r="A43" s="178"/>
      <c r="B43" s="178" t="s">
        <v>338</v>
      </c>
      <c r="C43" s="184"/>
      <c r="D43" s="180">
        <f>HERRERA!N33</f>
        <v>8224.0543269230766</v>
      </c>
      <c r="E43" s="180">
        <f>HERRERA!N34</f>
        <v>0</v>
      </c>
      <c r="F43" s="440">
        <f t="shared" si="0"/>
        <v>8224.0543269230766</v>
      </c>
      <c r="G43" s="183">
        <f>HERRERA!N36</f>
        <v>0</v>
      </c>
      <c r="H43" s="180">
        <f>HERRERA!N37</f>
        <v>0</v>
      </c>
      <c r="I43" s="438">
        <f t="shared" si="1"/>
        <v>8224.0543269230766</v>
      </c>
      <c r="J43" s="207">
        <v>0</v>
      </c>
      <c r="K43" s="343">
        <v>825</v>
      </c>
      <c r="L43" s="339"/>
      <c r="M43" s="296"/>
      <c r="N43" s="296">
        <v>1667.95</v>
      </c>
      <c r="P43" s="296">
        <v>100</v>
      </c>
      <c r="Q43" s="296"/>
      <c r="R43" s="296"/>
      <c r="S43" s="180"/>
      <c r="T43" s="180">
        <f t="shared" si="2"/>
        <v>2592.9499999999998</v>
      </c>
      <c r="U43" s="436">
        <f>I43+J43+S43-T43</f>
        <v>5631.1043269230768</v>
      </c>
      <c r="V43" s="252">
        <v>1000</v>
      </c>
      <c r="W43" s="415">
        <v>2500</v>
      </c>
      <c r="X43" s="412"/>
      <c r="Y43" s="452">
        <f t="shared" si="5"/>
        <v>2131.1043269230768</v>
      </c>
      <c r="Z43" s="346"/>
      <c r="AA43" s="346"/>
      <c r="AB43" s="347">
        <f t="shared" si="6"/>
        <v>2131.1043269230768</v>
      </c>
      <c r="AC43" s="252">
        <v>2342.58</v>
      </c>
      <c r="AD43" s="211">
        <f t="shared" si="4"/>
        <v>-211.47567307692316</v>
      </c>
      <c r="AH43" s="213"/>
    </row>
    <row r="44" spans="1:34" ht="12.75">
      <c r="A44" s="182"/>
      <c r="B44" s="178"/>
      <c r="C44" s="179"/>
      <c r="D44" s="180"/>
      <c r="E44" s="180"/>
      <c r="F44" s="440">
        <f t="shared" si="0"/>
        <v>0</v>
      </c>
      <c r="G44" s="178"/>
      <c r="H44" s="180"/>
      <c r="I44" s="438">
        <f t="shared" si="1"/>
        <v>0</v>
      </c>
      <c r="J44" s="207"/>
      <c r="K44" s="344"/>
      <c r="L44" s="339"/>
      <c r="M44" s="296"/>
      <c r="N44" s="296"/>
      <c r="O44" s="345"/>
      <c r="P44" s="296"/>
      <c r="Q44" s="296"/>
      <c r="R44" s="296"/>
      <c r="S44" s="180"/>
      <c r="T44" s="180">
        <f t="shared" si="2"/>
        <v>0</v>
      </c>
      <c r="U44" s="436">
        <f t="shared" si="3"/>
        <v>0</v>
      </c>
      <c r="Y44" s="452">
        <f t="shared" si="5"/>
        <v>0</v>
      </c>
      <c r="Z44" s="346"/>
      <c r="AA44" s="346"/>
      <c r="AB44" s="347">
        <f t="shared" si="6"/>
        <v>0</v>
      </c>
      <c r="AD44" s="211">
        <f t="shared" si="4"/>
        <v>0</v>
      </c>
    </row>
    <row r="45" spans="1:34" ht="12" customHeight="1">
      <c r="A45" s="178"/>
      <c r="B45" s="178" t="s">
        <v>442</v>
      </c>
      <c r="C45" s="184"/>
      <c r="D45" s="183">
        <f>CAYAPAS!N33</f>
        <v>10201.620000000001</v>
      </c>
      <c r="E45" s="180">
        <f>CAYAPAS!N34</f>
        <v>0</v>
      </c>
      <c r="F45" s="440">
        <f t="shared" ref="F45" si="25">D45-E45</f>
        <v>10201.620000000001</v>
      </c>
      <c r="G45" s="327"/>
      <c r="H45" s="183">
        <f>CAYAPAS!N37</f>
        <v>0</v>
      </c>
      <c r="I45" s="438">
        <f t="shared" si="1"/>
        <v>10201.620000000001</v>
      </c>
      <c r="J45" s="207">
        <v>1500</v>
      </c>
      <c r="K45" s="343">
        <v>1025</v>
      </c>
      <c r="L45" s="340"/>
      <c r="M45" s="327"/>
      <c r="N45" s="296">
        <v>1000</v>
      </c>
      <c r="O45" s="345"/>
      <c r="P45" s="296">
        <v>100</v>
      </c>
      <c r="Q45" s="296"/>
      <c r="R45" s="296"/>
      <c r="S45" s="180"/>
      <c r="T45" s="180">
        <f t="shared" si="2"/>
        <v>2125</v>
      </c>
      <c r="U45" s="436">
        <f t="shared" si="3"/>
        <v>9576.6200000000008</v>
      </c>
      <c r="V45" s="252">
        <v>1000</v>
      </c>
      <c r="W45" s="415">
        <v>4000</v>
      </c>
      <c r="X45" s="412"/>
      <c r="Y45" s="452">
        <f t="shared" si="5"/>
        <v>4576.6200000000008</v>
      </c>
      <c r="Z45" s="346"/>
      <c r="AA45" s="346"/>
      <c r="AB45" s="347">
        <f t="shared" si="6"/>
        <v>4576.6200000000008</v>
      </c>
      <c r="AC45" s="252">
        <v>4576.62</v>
      </c>
      <c r="AD45" s="211">
        <f t="shared" si="4"/>
        <v>0</v>
      </c>
    </row>
    <row r="46" spans="1:34" ht="12" customHeight="1">
      <c r="A46" s="178"/>
      <c r="B46" s="178" t="s">
        <v>349</v>
      </c>
      <c r="C46" s="184"/>
      <c r="D46" s="180">
        <v>7000</v>
      </c>
      <c r="E46" s="180"/>
      <c r="F46" s="440">
        <f t="shared" si="0"/>
        <v>7000</v>
      </c>
      <c r="G46" s="183"/>
      <c r="H46" s="180"/>
      <c r="I46" s="438">
        <f t="shared" si="1"/>
        <v>7000</v>
      </c>
      <c r="J46" s="207">
        <v>2500</v>
      </c>
      <c r="K46" s="343">
        <v>600</v>
      </c>
      <c r="L46" s="339"/>
      <c r="M46" s="296"/>
      <c r="N46" s="296">
        <v>43.95</v>
      </c>
      <c r="O46" s="345"/>
      <c r="P46" s="296">
        <v>100</v>
      </c>
      <c r="Q46" s="296">
        <v>1000</v>
      </c>
      <c r="R46" s="296"/>
      <c r="S46" s="296"/>
      <c r="T46" s="180">
        <f t="shared" si="2"/>
        <v>1743.95</v>
      </c>
      <c r="U46" s="436">
        <f t="shared" si="3"/>
        <v>7756.05</v>
      </c>
      <c r="V46" s="252">
        <v>1000</v>
      </c>
      <c r="W46" s="415"/>
      <c r="X46" s="412"/>
      <c r="Y46" s="452">
        <f t="shared" si="5"/>
        <v>6756.05</v>
      </c>
      <c r="Z46" s="346"/>
      <c r="AA46" s="346"/>
      <c r="AB46" s="347">
        <f t="shared" si="6"/>
        <v>6756.05</v>
      </c>
      <c r="AC46" s="252">
        <v>6756.05</v>
      </c>
      <c r="AD46" s="211">
        <f t="shared" si="4"/>
        <v>0</v>
      </c>
    </row>
    <row r="47" spans="1:34" ht="12" customHeight="1">
      <c r="A47" s="295"/>
      <c r="B47" s="295" t="s">
        <v>111</v>
      </c>
      <c r="C47" s="184"/>
      <c r="D47" s="296">
        <v>9000</v>
      </c>
      <c r="E47" s="296"/>
      <c r="F47" s="440">
        <f t="shared" si="0"/>
        <v>9000</v>
      </c>
      <c r="G47" s="295"/>
      <c r="H47" s="296"/>
      <c r="I47" s="438">
        <f t="shared" si="1"/>
        <v>9000</v>
      </c>
      <c r="J47" s="207">
        <v>3000</v>
      </c>
      <c r="K47" s="343">
        <v>900</v>
      </c>
      <c r="L47" s="339"/>
      <c r="M47" s="296"/>
      <c r="N47" s="296"/>
      <c r="P47" s="296">
        <v>100</v>
      </c>
      <c r="Q47" s="296"/>
      <c r="R47" s="296"/>
      <c r="S47" s="296"/>
      <c r="T47" s="180">
        <f t="shared" si="2"/>
        <v>1000</v>
      </c>
      <c r="U47" s="436">
        <f t="shared" si="3"/>
        <v>11000</v>
      </c>
      <c r="V47" s="252">
        <v>3000</v>
      </c>
      <c r="W47" s="415">
        <v>1479.89</v>
      </c>
      <c r="X47" s="412"/>
      <c r="Y47" s="452">
        <f t="shared" si="5"/>
        <v>6520.11</v>
      </c>
      <c r="Z47" s="346"/>
      <c r="AA47" s="346"/>
      <c r="AB47" s="347">
        <f t="shared" si="6"/>
        <v>6520.11</v>
      </c>
      <c r="AC47" s="252">
        <v>6520.11</v>
      </c>
      <c r="AD47" s="211">
        <f t="shared" si="4"/>
        <v>0</v>
      </c>
    </row>
    <row r="48" spans="1:34" ht="12" customHeight="1">
      <c r="A48" s="295"/>
      <c r="B48" s="295" t="s">
        <v>111</v>
      </c>
      <c r="C48" s="184"/>
      <c r="D48" s="296">
        <v>9500</v>
      </c>
      <c r="E48" s="296"/>
      <c r="F48" s="440">
        <f t="shared" si="0"/>
        <v>9500</v>
      </c>
      <c r="G48" s="295"/>
      <c r="H48" s="296"/>
      <c r="I48" s="438">
        <f t="shared" si="1"/>
        <v>9500</v>
      </c>
      <c r="J48" s="207">
        <v>3000</v>
      </c>
      <c r="K48" s="343">
        <v>900</v>
      </c>
      <c r="L48" s="339"/>
      <c r="M48" s="296"/>
      <c r="N48" s="296"/>
      <c r="O48" s="345"/>
      <c r="P48" s="296">
        <v>100</v>
      </c>
      <c r="Q48" s="296">
        <v>1250</v>
      </c>
      <c r="R48" s="296"/>
      <c r="S48" s="180">
        <v>0</v>
      </c>
      <c r="T48" s="180">
        <f t="shared" si="2"/>
        <v>2250</v>
      </c>
      <c r="U48" s="436">
        <f t="shared" si="3"/>
        <v>10250</v>
      </c>
      <c r="V48" s="252">
        <v>1000</v>
      </c>
      <c r="W48" s="415">
        <v>3367.83</v>
      </c>
      <c r="X48" s="412"/>
      <c r="Y48" s="452">
        <f t="shared" si="5"/>
        <v>5882.17</v>
      </c>
      <c r="Z48" s="346"/>
      <c r="AA48" s="346">
        <f>Y36+Y61</f>
        <v>14450</v>
      </c>
      <c r="AB48" s="347">
        <f t="shared" si="6"/>
        <v>20332.169999999998</v>
      </c>
      <c r="AC48" s="252">
        <v>20332.169999999998</v>
      </c>
      <c r="AD48" s="211">
        <f t="shared" si="4"/>
        <v>0</v>
      </c>
    </row>
    <row r="49" spans="1:30" ht="12" customHeight="1">
      <c r="A49" s="178"/>
      <c r="B49" s="295" t="s">
        <v>111</v>
      </c>
      <c r="C49" s="184"/>
      <c r="D49" s="296">
        <v>8000</v>
      </c>
      <c r="E49" s="296"/>
      <c r="F49" s="440">
        <f t="shared" si="0"/>
        <v>8000</v>
      </c>
      <c r="G49" s="295"/>
      <c r="H49" s="296"/>
      <c r="I49" s="438">
        <f t="shared" si="1"/>
        <v>8000</v>
      </c>
      <c r="J49" s="207">
        <v>3000</v>
      </c>
      <c r="K49" s="343">
        <v>800</v>
      </c>
      <c r="L49" s="339"/>
      <c r="M49" s="296"/>
      <c r="N49" s="296"/>
      <c r="O49" s="345"/>
      <c r="P49" s="296">
        <v>100</v>
      </c>
      <c r="Q49" s="296"/>
      <c r="R49" s="296"/>
      <c r="S49" s="180"/>
      <c r="T49" s="180">
        <f t="shared" si="2"/>
        <v>900</v>
      </c>
      <c r="U49" s="436">
        <f t="shared" si="3"/>
        <v>10100</v>
      </c>
      <c r="V49" s="252">
        <v>2500</v>
      </c>
      <c r="W49" s="252">
        <v>1225.4100000000001</v>
      </c>
      <c r="Y49" s="452">
        <f t="shared" si="5"/>
        <v>6374.59</v>
      </c>
      <c r="Z49" s="346"/>
      <c r="AA49" s="346">
        <f>Y37+Y56</f>
        <v>16950</v>
      </c>
      <c r="AB49" s="347">
        <f t="shared" si="6"/>
        <v>23324.59</v>
      </c>
      <c r="AC49" s="252">
        <v>23324.59</v>
      </c>
      <c r="AD49" s="211">
        <f t="shared" si="4"/>
        <v>0</v>
      </c>
    </row>
    <row r="50" spans="1:30">
      <c r="A50" s="295"/>
      <c r="B50" s="178" t="s">
        <v>349</v>
      </c>
      <c r="C50" s="184"/>
      <c r="D50" s="297">
        <v>7000</v>
      </c>
      <c r="E50" s="296"/>
      <c r="F50" s="440">
        <f t="shared" si="0"/>
        <v>7000</v>
      </c>
      <c r="G50" s="295"/>
      <c r="H50" s="297"/>
      <c r="I50" s="438">
        <f t="shared" si="1"/>
        <v>7000</v>
      </c>
      <c r="J50" s="207">
        <v>2500</v>
      </c>
      <c r="K50" s="343">
        <v>700</v>
      </c>
      <c r="L50" s="340"/>
      <c r="M50" s="178"/>
      <c r="N50" s="296"/>
      <c r="O50" s="345"/>
      <c r="P50" s="296">
        <v>100</v>
      </c>
      <c r="Q50" s="296"/>
      <c r="R50" s="296"/>
      <c r="S50" s="296"/>
      <c r="T50" s="180">
        <f t="shared" si="2"/>
        <v>800</v>
      </c>
      <c r="U50" s="436">
        <f t="shared" si="3"/>
        <v>8700</v>
      </c>
      <c r="V50" s="252">
        <v>1000</v>
      </c>
      <c r="W50" s="415"/>
      <c r="X50" s="412"/>
      <c r="Y50" s="452">
        <f t="shared" si="5"/>
        <v>7700</v>
      </c>
      <c r="Z50" s="346"/>
      <c r="AA50" s="346"/>
      <c r="AB50" s="347">
        <f t="shared" si="6"/>
        <v>7700</v>
      </c>
      <c r="AC50" s="252">
        <v>7700</v>
      </c>
      <c r="AD50" s="211">
        <f t="shared" si="4"/>
        <v>0</v>
      </c>
    </row>
    <row r="51" spans="1:30">
      <c r="A51" s="295"/>
      <c r="B51" s="178" t="s">
        <v>349</v>
      </c>
      <c r="C51" s="184"/>
      <c r="D51" s="180">
        <v>7000</v>
      </c>
      <c r="E51" s="296"/>
      <c r="F51" s="440">
        <f t="shared" si="0"/>
        <v>7000</v>
      </c>
      <c r="G51" s="295"/>
      <c r="H51" s="297"/>
      <c r="I51" s="438">
        <f t="shared" si="1"/>
        <v>7000</v>
      </c>
      <c r="J51" s="207">
        <v>2500</v>
      </c>
      <c r="K51" s="343">
        <v>700</v>
      </c>
      <c r="L51" s="340"/>
      <c r="M51" s="327"/>
      <c r="N51" s="296"/>
      <c r="O51" s="345"/>
      <c r="P51" s="296">
        <v>100</v>
      </c>
      <c r="Q51" s="296">
        <v>1500</v>
      </c>
      <c r="R51" s="296"/>
      <c r="S51" s="180"/>
      <c r="T51" s="180">
        <f t="shared" si="2"/>
        <v>2300</v>
      </c>
      <c r="U51" s="436">
        <f t="shared" si="3"/>
        <v>7200</v>
      </c>
      <c r="W51" s="411"/>
      <c r="X51" s="411"/>
      <c r="Y51" s="452">
        <f t="shared" si="5"/>
        <v>7200</v>
      </c>
      <c r="Z51" s="346"/>
      <c r="AA51" s="346"/>
      <c r="AB51" s="347">
        <f t="shared" si="6"/>
        <v>7200</v>
      </c>
      <c r="AC51" s="252">
        <v>7200</v>
      </c>
      <c r="AD51" s="211">
        <f t="shared" si="4"/>
        <v>0</v>
      </c>
    </row>
    <row r="52" spans="1:30">
      <c r="A52" s="178"/>
      <c r="B52" s="178" t="s">
        <v>349</v>
      </c>
      <c r="C52" s="184"/>
      <c r="D52" s="183">
        <v>7000</v>
      </c>
      <c r="E52" s="296"/>
      <c r="F52" s="440">
        <f t="shared" si="0"/>
        <v>7000</v>
      </c>
      <c r="G52" s="178"/>
      <c r="H52" s="183"/>
      <c r="I52" s="438">
        <f t="shared" si="1"/>
        <v>7000</v>
      </c>
      <c r="J52" s="207">
        <v>2500</v>
      </c>
      <c r="K52" s="343">
        <v>600</v>
      </c>
      <c r="L52" s="340"/>
      <c r="M52" s="178"/>
      <c r="N52" s="296"/>
      <c r="O52" s="345"/>
      <c r="P52" s="296">
        <v>100</v>
      </c>
      <c r="Q52" s="296"/>
      <c r="R52" s="296"/>
      <c r="S52" s="296"/>
      <c r="T52" s="180">
        <f t="shared" si="2"/>
        <v>700</v>
      </c>
      <c r="U52" s="436">
        <f t="shared" si="3"/>
        <v>8800</v>
      </c>
      <c r="W52" s="416"/>
      <c r="X52" s="409"/>
      <c r="Y52" s="452">
        <f t="shared" si="5"/>
        <v>8800</v>
      </c>
      <c r="Z52" s="346"/>
      <c r="AA52" s="346"/>
      <c r="AB52" s="347">
        <f t="shared" si="6"/>
        <v>8800</v>
      </c>
      <c r="AC52" s="252">
        <v>8800</v>
      </c>
      <c r="AD52" s="211">
        <f t="shared" si="4"/>
        <v>0</v>
      </c>
    </row>
    <row r="53" spans="1:30">
      <c r="A53" s="178"/>
      <c r="B53" s="178" t="s">
        <v>349</v>
      </c>
      <c r="C53" s="184"/>
      <c r="D53" s="183">
        <v>7000</v>
      </c>
      <c r="E53" s="296"/>
      <c r="F53" s="440">
        <f t="shared" si="0"/>
        <v>7000</v>
      </c>
      <c r="G53" s="178"/>
      <c r="H53" s="183"/>
      <c r="I53" s="438">
        <f t="shared" si="1"/>
        <v>7000</v>
      </c>
      <c r="J53" s="207">
        <v>2500</v>
      </c>
      <c r="K53" s="343">
        <v>600</v>
      </c>
      <c r="L53" s="340"/>
      <c r="M53" s="178"/>
      <c r="N53" s="296"/>
      <c r="O53" s="345"/>
      <c r="P53" s="296">
        <v>100</v>
      </c>
      <c r="Q53" s="296"/>
      <c r="R53" s="296"/>
      <c r="S53" s="296"/>
      <c r="T53" s="180">
        <f t="shared" si="2"/>
        <v>700</v>
      </c>
      <c r="U53" s="436">
        <f t="shared" si="3"/>
        <v>8800</v>
      </c>
      <c r="V53" s="252">
        <v>2000</v>
      </c>
      <c r="W53" s="416">
        <v>1194.6300000000001</v>
      </c>
      <c r="X53" s="409"/>
      <c r="Y53" s="452">
        <f t="shared" si="5"/>
        <v>5605.37</v>
      </c>
      <c r="Z53" s="346"/>
      <c r="AA53" s="346"/>
      <c r="AB53" s="347">
        <f t="shared" si="6"/>
        <v>5605.37</v>
      </c>
      <c r="AC53" s="252">
        <v>5605.37</v>
      </c>
      <c r="AD53" s="211">
        <f t="shared" si="4"/>
        <v>0</v>
      </c>
    </row>
    <row r="54" spans="1:30">
      <c r="A54" s="178"/>
      <c r="B54" s="178" t="s">
        <v>349</v>
      </c>
      <c r="C54" s="184"/>
      <c r="D54" s="183">
        <v>6000</v>
      </c>
      <c r="E54" s="296"/>
      <c r="F54" s="440">
        <f t="shared" si="0"/>
        <v>6000</v>
      </c>
      <c r="G54" s="178"/>
      <c r="H54" s="183"/>
      <c r="I54" s="438">
        <f t="shared" si="1"/>
        <v>6000</v>
      </c>
      <c r="J54" s="207">
        <v>2500</v>
      </c>
      <c r="K54" s="343">
        <v>600</v>
      </c>
      <c r="L54" s="340"/>
      <c r="M54" s="178"/>
      <c r="N54" s="296"/>
      <c r="O54" s="345"/>
      <c r="P54" s="296">
        <v>100</v>
      </c>
      <c r="Q54" s="296"/>
      <c r="R54" s="296"/>
      <c r="S54" s="296"/>
      <c r="T54" s="180">
        <f t="shared" si="2"/>
        <v>700</v>
      </c>
      <c r="U54" s="436">
        <f t="shared" si="3"/>
        <v>7800</v>
      </c>
      <c r="V54" s="252">
        <v>1000</v>
      </c>
      <c r="W54" s="416">
        <v>1923.18</v>
      </c>
      <c r="X54" s="409"/>
      <c r="Y54" s="452">
        <f t="shared" si="5"/>
        <v>4876.82</v>
      </c>
      <c r="Z54" s="346"/>
      <c r="AA54" s="346"/>
      <c r="AB54" s="347">
        <f t="shared" si="6"/>
        <v>4876.82</v>
      </c>
      <c r="AC54" s="252">
        <v>4876.82</v>
      </c>
      <c r="AD54" s="211">
        <f t="shared" si="4"/>
        <v>0</v>
      </c>
    </row>
    <row r="55" spans="1:30">
      <c r="A55" s="178"/>
      <c r="B55" s="178" t="s">
        <v>349</v>
      </c>
      <c r="C55" s="184"/>
      <c r="D55" s="183">
        <v>6000</v>
      </c>
      <c r="E55" s="296"/>
      <c r="F55" s="440">
        <f t="shared" si="0"/>
        <v>6000</v>
      </c>
      <c r="G55" s="178"/>
      <c r="H55" s="183"/>
      <c r="I55" s="438">
        <f t="shared" si="1"/>
        <v>6000</v>
      </c>
      <c r="J55" s="207">
        <v>2500</v>
      </c>
      <c r="K55" s="343">
        <v>600</v>
      </c>
      <c r="L55" s="340"/>
      <c r="M55" s="178"/>
      <c r="N55" s="296"/>
      <c r="O55" s="345"/>
      <c r="P55" s="296">
        <v>100</v>
      </c>
      <c r="Q55" s="296">
        <v>500</v>
      </c>
      <c r="R55" s="296"/>
      <c r="S55" s="296"/>
      <c r="T55" s="180">
        <f t="shared" si="2"/>
        <v>1200</v>
      </c>
      <c r="U55" s="436">
        <f t="shared" si="3"/>
        <v>7300</v>
      </c>
      <c r="W55" s="415"/>
      <c r="X55" s="412"/>
      <c r="Y55" s="452">
        <f t="shared" si="5"/>
        <v>7300</v>
      </c>
      <c r="Z55" s="346"/>
      <c r="AA55" s="346"/>
      <c r="AB55" s="347">
        <f t="shared" si="6"/>
        <v>7300</v>
      </c>
      <c r="AC55" s="252">
        <v>7300</v>
      </c>
      <c r="AD55" s="211">
        <f t="shared" si="4"/>
        <v>0</v>
      </c>
    </row>
    <row r="56" spans="1:30">
      <c r="A56" s="178"/>
      <c r="B56" s="178" t="s">
        <v>349</v>
      </c>
      <c r="C56" s="184"/>
      <c r="D56" s="183">
        <v>6000</v>
      </c>
      <c r="E56" s="296"/>
      <c r="F56" s="440">
        <f t="shared" ref="F56" si="26">D56-E56</f>
        <v>6000</v>
      </c>
      <c r="G56" s="178"/>
      <c r="H56" s="183"/>
      <c r="I56" s="438">
        <f t="shared" ref="I56" si="27">SUM(F56:H56)</f>
        <v>6000</v>
      </c>
      <c r="J56" s="207">
        <v>2500</v>
      </c>
      <c r="K56" s="343">
        <v>600</v>
      </c>
      <c r="L56" s="340"/>
      <c r="M56" s="178"/>
      <c r="N56" s="296"/>
      <c r="O56" s="345"/>
      <c r="P56" s="296">
        <v>100</v>
      </c>
      <c r="Q56" s="296"/>
      <c r="R56" s="296">
        <v>0</v>
      </c>
      <c r="S56" s="296"/>
      <c r="T56" s="180">
        <f t="shared" ref="T56" si="28">SUM(K56:R56)</f>
        <v>700</v>
      </c>
      <c r="U56" s="436">
        <f t="shared" ref="U56" si="29">I56+J56+S56-T56</f>
        <v>7800</v>
      </c>
      <c r="W56" s="416"/>
      <c r="X56" s="409"/>
      <c r="Y56" s="452">
        <f t="shared" ref="Y56" si="30">U56-SUM(V56:X56)</f>
        <v>7800</v>
      </c>
      <c r="Z56" s="346"/>
      <c r="AA56" s="346">
        <f>-Y56</f>
        <v>-7800</v>
      </c>
      <c r="AB56" s="347">
        <f t="shared" ref="AB56" si="31">Y56+Z56+AA56</f>
        <v>0</v>
      </c>
      <c r="AD56" s="211">
        <f t="shared" si="4"/>
        <v>0</v>
      </c>
    </row>
    <row r="57" spans="1:30">
      <c r="A57" s="178"/>
      <c r="B57" s="178" t="s">
        <v>349</v>
      </c>
      <c r="C57" s="184"/>
      <c r="D57" s="183">
        <v>250</v>
      </c>
      <c r="E57" s="296"/>
      <c r="F57" s="440">
        <f t="shared" si="0"/>
        <v>250</v>
      </c>
      <c r="G57" s="178"/>
      <c r="H57" s="183"/>
      <c r="I57" s="438">
        <f t="shared" si="1"/>
        <v>250</v>
      </c>
      <c r="J57" s="207">
        <v>2000</v>
      </c>
      <c r="K57" s="296">
        <v>250</v>
      </c>
      <c r="L57" s="178"/>
      <c r="M57" s="178"/>
      <c r="N57" s="296"/>
      <c r="O57" s="345"/>
      <c r="P57" s="296">
        <v>100</v>
      </c>
      <c r="Q57" s="296"/>
      <c r="R57" s="296"/>
      <c r="S57" s="180"/>
      <c r="T57" s="180">
        <f t="shared" si="2"/>
        <v>350</v>
      </c>
      <c r="U57" s="436">
        <f t="shared" si="3"/>
        <v>1900</v>
      </c>
      <c r="W57" s="416"/>
      <c r="X57" s="409"/>
      <c r="Y57" s="452">
        <f t="shared" si="5"/>
        <v>1900</v>
      </c>
      <c r="AB57" s="347">
        <f t="shared" si="6"/>
        <v>1900</v>
      </c>
      <c r="AC57" s="252">
        <v>1900</v>
      </c>
      <c r="AD57" s="211">
        <f t="shared" si="4"/>
        <v>0</v>
      </c>
    </row>
    <row r="58" spans="1:30">
      <c r="A58" s="178"/>
      <c r="B58" s="295" t="s">
        <v>111</v>
      </c>
      <c r="C58" s="184"/>
      <c r="D58" s="183">
        <v>8500</v>
      </c>
      <c r="E58" s="296"/>
      <c r="F58" s="440">
        <f t="shared" si="0"/>
        <v>8500</v>
      </c>
      <c r="G58" s="178"/>
      <c r="H58" s="183"/>
      <c r="I58" s="438">
        <f t="shared" si="1"/>
        <v>8500</v>
      </c>
      <c r="J58" s="207">
        <v>3000</v>
      </c>
      <c r="K58" s="180">
        <v>850</v>
      </c>
      <c r="L58" s="178"/>
      <c r="M58" s="178"/>
      <c r="N58" s="296"/>
      <c r="O58" s="345"/>
      <c r="P58" s="296">
        <v>100</v>
      </c>
      <c r="Q58" s="296"/>
      <c r="R58" s="296"/>
      <c r="S58" s="180">
        <v>0</v>
      </c>
      <c r="T58" s="180">
        <f t="shared" si="2"/>
        <v>950</v>
      </c>
      <c r="U58" s="436">
        <f t="shared" si="3"/>
        <v>10550</v>
      </c>
      <c r="V58" s="252">
        <v>3000</v>
      </c>
      <c r="W58" s="415">
        <v>3441.91</v>
      </c>
      <c r="X58" s="412"/>
      <c r="Y58" s="452">
        <f t="shared" si="5"/>
        <v>4108.09</v>
      </c>
      <c r="AA58" s="213">
        <f>Y35+Y60</f>
        <v>12894.59</v>
      </c>
      <c r="AB58" s="347">
        <f t="shared" si="6"/>
        <v>17002.68</v>
      </c>
      <c r="AC58" s="252">
        <v>17002.68</v>
      </c>
      <c r="AD58" s="211">
        <f t="shared" si="4"/>
        <v>0</v>
      </c>
    </row>
    <row r="59" spans="1:30">
      <c r="A59" s="178"/>
      <c r="B59" s="178" t="s">
        <v>349</v>
      </c>
      <c r="C59" s="184"/>
      <c r="D59" s="183">
        <f>GALLARDO!N33</f>
        <v>8500</v>
      </c>
      <c r="E59" s="296">
        <f>GALLARDO!N34</f>
        <v>0</v>
      </c>
      <c r="F59" s="440">
        <f t="shared" si="0"/>
        <v>8500</v>
      </c>
      <c r="G59" s="178"/>
      <c r="H59" s="183">
        <f>GALLARDO!N37</f>
        <v>0</v>
      </c>
      <c r="I59" s="438">
        <f t="shared" si="1"/>
        <v>8500</v>
      </c>
      <c r="J59" s="207"/>
      <c r="K59" s="180">
        <v>850</v>
      </c>
      <c r="L59" s="178"/>
      <c r="M59" s="178"/>
      <c r="N59" s="296"/>
      <c r="O59" s="345"/>
      <c r="P59" s="296">
        <v>100</v>
      </c>
      <c r="Q59" s="296">
        <v>1000</v>
      </c>
      <c r="R59" s="296">
        <v>250</v>
      </c>
      <c r="S59" s="180"/>
      <c r="T59" s="180">
        <f t="shared" si="2"/>
        <v>2200</v>
      </c>
      <c r="U59" s="436">
        <f t="shared" si="3"/>
        <v>6300</v>
      </c>
      <c r="V59" s="252">
        <v>1000</v>
      </c>
      <c r="W59" s="416">
        <v>2162.38</v>
      </c>
      <c r="X59" s="409"/>
      <c r="Y59" s="452">
        <f t="shared" si="5"/>
        <v>3137.62</v>
      </c>
      <c r="AA59" s="213">
        <f>-Y59</f>
        <v>-3137.62</v>
      </c>
      <c r="AB59" s="347">
        <f t="shared" si="6"/>
        <v>0</v>
      </c>
      <c r="AD59" s="211">
        <f t="shared" si="4"/>
        <v>0</v>
      </c>
    </row>
    <row r="60" spans="1:30">
      <c r="A60" s="178"/>
      <c r="B60" s="178" t="s">
        <v>349</v>
      </c>
      <c r="C60" s="184"/>
      <c r="D60" s="183">
        <v>6000</v>
      </c>
      <c r="E60" s="296"/>
      <c r="F60" s="440">
        <f t="shared" si="0"/>
        <v>6000</v>
      </c>
      <c r="G60" s="178"/>
      <c r="H60" s="183"/>
      <c r="I60" s="438">
        <f t="shared" si="1"/>
        <v>6000</v>
      </c>
      <c r="J60" s="207">
        <v>2500</v>
      </c>
      <c r="K60" s="180">
        <v>600</v>
      </c>
      <c r="L60" s="178"/>
      <c r="M60" s="178"/>
      <c r="N60" s="296"/>
      <c r="O60" s="345"/>
      <c r="P60" s="296">
        <v>100</v>
      </c>
      <c r="Q60" s="296">
        <v>0</v>
      </c>
      <c r="R60" s="296"/>
      <c r="S60" s="180"/>
      <c r="T60" s="180">
        <f t="shared" ref="T60" si="32">SUM(K60:R60)</f>
        <v>700</v>
      </c>
      <c r="U60" s="436">
        <f t="shared" ref="U60" si="33">I60+J60+S60-T60</f>
        <v>7800</v>
      </c>
      <c r="W60" s="416" t="s">
        <v>450</v>
      </c>
      <c r="X60" s="409"/>
      <c r="Y60" s="452">
        <f t="shared" ref="Y60" si="34">U60-SUM(V60:X60)</f>
        <v>7800</v>
      </c>
      <c r="AA60" s="213">
        <f>-Y60</f>
        <v>-7800</v>
      </c>
      <c r="AB60" s="347">
        <f t="shared" ref="AB60" si="35">Y60+Z60+AA60</f>
        <v>0</v>
      </c>
      <c r="AD60" s="211">
        <f t="shared" si="4"/>
        <v>0</v>
      </c>
    </row>
    <row r="61" spans="1:30">
      <c r="A61" s="178"/>
      <c r="B61" s="178" t="s">
        <v>349</v>
      </c>
      <c r="C61" s="184"/>
      <c r="D61" s="183">
        <v>6000</v>
      </c>
      <c r="E61" s="296"/>
      <c r="F61" s="440">
        <f t="shared" ref="F61" si="36">D61-E61</f>
        <v>6000</v>
      </c>
      <c r="G61" s="178"/>
      <c r="H61" s="183"/>
      <c r="I61" s="438">
        <f t="shared" ref="I61" si="37">SUM(F61:H61)</f>
        <v>6000</v>
      </c>
      <c r="J61" s="207">
        <v>2500</v>
      </c>
      <c r="K61" s="180">
        <v>600</v>
      </c>
      <c r="L61" s="178"/>
      <c r="M61" s="178"/>
      <c r="N61" s="296"/>
      <c r="O61" s="345"/>
      <c r="P61" s="296">
        <v>100</v>
      </c>
      <c r="Q61" s="296">
        <v>1250</v>
      </c>
      <c r="R61" s="296"/>
      <c r="S61" s="180"/>
      <c r="T61" s="180">
        <f t="shared" ref="T61" si="38">SUM(K61:R61)</f>
        <v>1950</v>
      </c>
      <c r="U61" s="436">
        <f t="shared" ref="U61" si="39">I61+J61+S61-T61</f>
        <v>6550</v>
      </c>
      <c r="W61" s="416" t="s">
        <v>450</v>
      </c>
      <c r="X61" s="409"/>
      <c r="Y61" s="452">
        <f t="shared" ref="Y61" si="40">U61-SUM(V61:X61)</f>
        <v>6550</v>
      </c>
      <c r="AA61" s="213">
        <f>-Y61</f>
        <v>-6550</v>
      </c>
      <c r="AB61" s="347">
        <f t="shared" ref="AB61" si="41">Y61+Z61+AA61</f>
        <v>0</v>
      </c>
      <c r="AD61" s="211">
        <f t="shared" si="4"/>
        <v>0</v>
      </c>
    </row>
    <row r="62" spans="1:30">
      <c r="A62" s="178"/>
      <c r="B62" s="178" t="s">
        <v>451</v>
      </c>
      <c r="C62" s="184"/>
      <c r="D62" s="183">
        <f>EDON!N32</f>
        <v>9500</v>
      </c>
      <c r="E62" s="296">
        <f>EDON!N33</f>
        <v>822.11538461538453</v>
      </c>
      <c r="F62" s="440">
        <f t="shared" ref="F62" si="42">D62-E62</f>
        <v>8677.8846153846152</v>
      </c>
      <c r="G62" s="178"/>
      <c r="H62" s="183">
        <f>EDON!N36</f>
        <v>0</v>
      </c>
      <c r="I62" s="438">
        <f t="shared" ref="I62" si="43">SUM(F62:H62)</f>
        <v>8677.8846153846152</v>
      </c>
      <c r="J62" s="207"/>
      <c r="K62" s="180">
        <v>950</v>
      </c>
      <c r="L62" s="178"/>
      <c r="M62" s="178"/>
      <c r="N62" s="296"/>
      <c r="O62" s="345"/>
      <c r="P62" s="296">
        <v>100</v>
      </c>
      <c r="Q62" s="296">
        <v>0</v>
      </c>
      <c r="R62" s="296"/>
      <c r="S62" s="180"/>
      <c r="T62" s="180">
        <f t="shared" ref="T62" si="44">SUM(K62:R62)</f>
        <v>1050</v>
      </c>
      <c r="U62" s="436">
        <f t="shared" ref="U62" si="45">I62+J62+S62-T62</f>
        <v>7627.8846153846152</v>
      </c>
      <c r="W62" s="416" t="s">
        <v>450</v>
      </c>
      <c r="X62" s="409"/>
      <c r="Y62" s="452">
        <f t="shared" ref="Y62" si="46">U62-SUM(V62:X62)</f>
        <v>7627.8846153846152</v>
      </c>
      <c r="AA62" s="213">
        <f>-Y62</f>
        <v>-7627.8846153846152</v>
      </c>
      <c r="AB62" s="347">
        <f t="shared" ref="AB62" si="47">Y62+Z62+AA62</f>
        <v>0</v>
      </c>
      <c r="AD62" s="211">
        <f t="shared" si="4"/>
        <v>0</v>
      </c>
    </row>
    <row r="63" spans="1:30">
      <c r="A63" s="178"/>
      <c r="B63" s="178"/>
      <c r="C63" s="179"/>
      <c r="D63" s="183"/>
      <c r="E63" s="180"/>
      <c r="F63" s="181">
        <f t="shared" si="0"/>
        <v>0</v>
      </c>
      <c r="G63" s="178"/>
      <c r="H63" s="183"/>
      <c r="I63" s="180">
        <f t="shared" si="1"/>
        <v>0</v>
      </c>
      <c r="J63" s="207"/>
      <c r="K63" s="180"/>
      <c r="L63" s="178"/>
      <c r="M63" s="178"/>
      <c r="N63" s="296"/>
      <c r="O63" s="345"/>
      <c r="P63" s="296"/>
      <c r="Q63" s="296"/>
      <c r="R63" s="296"/>
      <c r="S63" s="193"/>
      <c r="T63" s="180">
        <f t="shared" si="2"/>
        <v>0</v>
      </c>
      <c r="U63" s="180">
        <f t="shared" si="3"/>
        <v>0</v>
      </c>
      <c r="Y63" s="452">
        <f t="shared" ref="Y63" si="48">U63-SUM(V63:W63)</f>
        <v>0</v>
      </c>
      <c r="Z63" s="346"/>
      <c r="AA63" s="346"/>
      <c r="AB63" s="347">
        <f t="shared" si="6"/>
        <v>0</v>
      </c>
      <c r="AD63" s="211">
        <f t="shared" si="4"/>
        <v>0</v>
      </c>
    </row>
    <row r="64" spans="1:30" ht="14.25">
      <c r="A64" s="188" t="s">
        <v>135</v>
      </c>
      <c r="B64" s="188"/>
      <c r="C64" s="192"/>
      <c r="D64" s="193">
        <f t="shared" ref="D64:AD64" si="49">SUM(D10:D63)</f>
        <v>329670.24139423075</v>
      </c>
      <c r="E64" s="193">
        <f t="shared" si="49"/>
        <v>17644.574325320515</v>
      </c>
      <c r="F64" s="193">
        <f t="shared" si="49"/>
        <v>312025.66706891026</v>
      </c>
      <c r="G64" s="193">
        <f t="shared" si="49"/>
        <v>7211.0007211538459</v>
      </c>
      <c r="H64" s="193">
        <f t="shared" si="49"/>
        <v>0</v>
      </c>
      <c r="I64" s="193">
        <f t="shared" si="49"/>
        <v>319236.66779006412</v>
      </c>
      <c r="J64" s="193">
        <f t="shared" si="49"/>
        <v>59800</v>
      </c>
      <c r="K64" s="193">
        <f t="shared" si="49"/>
        <v>32050</v>
      </c>
      <c r="L64" s="193">
        <f t="shared" si="49"/>
        <v>0</v>
      </c>
      <c r="M64" s="193">
        <f t="shared" si="49"/>
        <v>1700</v>
      </c>
      <c r="N64" s="193">
        <f t="shared" si="49"/>
        <v>9061.9000000000015</v>
      </c>
      <c r="O64" s="193">
        <f t="shared" si="49"/>
        <v>9750</v>
      </c>
      <c r="P64" s="193">
        <f t="shared" si="49"/>
        <v>4400</v>
      </c>
      <c r="Q64" s="193">
        <f t="shared" si="49"/>
        <v>11250</v>
      </c>
      <c r="R64" s="193">
        <f t="shared" si="49"/>
        <v>1288.4000000000001</v>
      </c>
      <c r="S64" s="193">
        <f t="shared" si="49"/>
        <v>0</v>
      </c>
      <c r="T64" s="193">
        <f t="shared" si="49"/>
        <v>69500.299999999988</v>
      </c>
      <c r="U64" s="193">
        <f t="shared" si="49"/>
        <v>309536.36779006408</v>
      </c>
      <c r="V64" s="350">
        <f t="shared" si="49"/>
        <v>42500</v>
      </c>
      <c r="W64" s="417">
        <f t="shared" si="49"/>
        <v>50884.049999999996</v>
      </c>
      <c r="X64" s="350">
        <f t="shared" si="49"/>
        <v>0</v>
      </c>
      <c r="Y64" s="453">
        <f t="shared" si="49"/>
        <v>216152.31779006409</v>
      </c>
      <c r="Z64" s="350">
        <f t="shared" si="49"/>
        <v>99534.049999999988</v>
      </c>
      <c r="AA64" s="350">
        <f t="shared" si="49"/>
        <v>0</v>
      </c>
      <c r="AB64" s="350">
        <f t="shared" si="49"/>
        <v>309295.74279006408</v>
      </c>
      <c r="AC64" s="252">
        <f t="shared" si="49"/>
        <v>332283.11</v>
      </c>
      <c r="AD64" s="357">
        <f t="shared" si="49"/>
        <v>-22987.367209935925</v>
      </c>
    </row>
    <row r="65" spans="1:30">
      <c r="A65" s="194"/>
      <c r="B65" s="194"/>
      <c r="C65" s="195"/>
      <c r="D65" s="194"/>
      <c r="E65" s="196"/>
      <c r="F65" s="194"/>
      <c r="G65" s="194"/>
      <c r="H65" s="194"/>
      <c r="I65" s="194"/>
      <c r="J65" s="210"/>
      <c r="L65" s="194"/>
      <c r="M65" s="194"/>
      <c r="N65" s="210"/>
      <c r="O65" s="210"/>
      <c r="P65" s="210"/>
      <c r="Q65" s="210"/>
      <c r="R65" s="210"/>
      <c r="S65" s="210"/>
      <c r="T65" s="252"/>
      <c r="Y65" s="452">
        <f>U65-V65-W65</f>
        <v>0</v>
      </c>
      <c r="AB65" s="357"/>
      <c r="AD65" s="213"/>
    </row>
    <row r="66" spans="1:30" ht="14.25">
      <c r="A66" s="194"/>
      <c r="B66" s="194"/>
      <c r="C66" s="195"/>
      <c r="D66" s="194"/>
      <c r="E66" s="196"/>
      <c r="F66" s="194"/>
      <c r="G66" s="194"/>
      <c r="H66" s="194"/>
      <c r="I66" s="194"/>
      <c r="J66" s="210"/>
      <c r="L66" s="194"/>
      <c r="M66" s="194"/>
      <c r="N66" s="210"/>
      <c r="O66" s="210"/>
      <c r="P66" s="210"/>
      <c r="Q66" s="210"/>
      <c r="R66" s="210"/>
      <c r="S66" s="168" t="s">
        <v>139</v>
      </c>
      <c r="T66" s="252" t="s">
        <v>323</v>
      </c>
      <c r="U66" s="322">
        <v>5000</v>
      </c>
      <c r="V66" s="351">
        <v>1500</v>
      </c>
      <c r="W66" s="418"/>
      <c r="X66" s="351">
        <v>250</v>
      </c>
      <c r="Y66" s="454">
        <f>U66-V66-W66-X66</f>
        <v>3250</v>
      </c>
      <c r="Z66" s="351"/>
      <c r="AA66" s="351"/>
      <c r="AB66" s="352">
        <f>Y66+Z66</f>
        <v>3250</v>
      </c>
      <c r="AC66" s="252">
        <v>3250</v>
      </c>
      <c r="AD66" s="403">
        <v>3250</v>
      </c>
    </row>
    <row r="67" spans="1:30" ht="14.25">
      <c r="A67" s="194" t="s">
        <v>136</v>
      </c>
      <c r="F67" s="194" t="s">
        <v>137</v>
      </c>
      <c r="G67" s="194"/>
      <c r="J67" s="420"/>
      <c r="N67" s="194" t="s">
        <v>138</v>
      </c>
      <c r="O67" s="194"/>
      <c r="P67" s="194"/>
      <c r="Q67" s="194"/>
      <c r="R67" s="194"/>
      <c r="S67" s="168"/>
      <c r="T67" s="211"/>
      <c r="U67" s="323">
        <f>U64+U65+U66</f>
        <v>314536.36779006408</v>
      </c>
      <c r="V67" s="353">
        <f>V64+V66</f>
        <v>44000</v>
      </c>
      <c r="W67" s="419">
        <f>W64+W66</f>
        <v>50884.049999999996</v>
      </c>
      <c r="X67" s="353">
        <f>X64+X66</f>
        <v>250</v>
      </c>
      <c r="Y67" s="455">
        <f>Y64+Y66+Y65</f>
        <v>219402.31779006409</v>
      </c>
      <c r="Z67" s="353">
        <f>Z64+Z66</f>
        <v>99534.049999999988</v>
      </c>
      <c r="AA67" s="353">
        <f>AA64+AA66</f>
        <v>0</v>
      </c>
      <c r="AB67" s="353">
        <f>AB64+AB66+AB65</f>
        <v>312545.74279006408</v>
      </c>
      <c r="AC67" s="252">
        <f>SUM(AC64:AC66)</f>
        <v>335533.11</v>
      </c>
      <c r="AD67" s="404">
        <f>AD64+AD65+AD66</f>
        <v>-19737.367209935925</v>
      </c>
    </row>
    <row r="68" spans="1:30">
      <c r="A68" s="194"/>
      <c r="H68" s="194"/>
      <c r="I68" s="252"/>
      <c r="J68" s="213"/>
      <c r="N68" s="168"/>
      <c r="O68" s="168"/>
      <c r="P68" s="168"/>
      <c r="Q68" s="168"/>
      <c r="R68" s="168"/>
      <c r="S68" s="194" t="s">
        <v>143</v>
      </c>
      <c r="U68" s="168"/>
      <c r="V68" s="168"/>
    </row>
    <row r="69" spans="1:30">
      <c r="A69" s="194"/>
      <c r="B69" s="252"/>
      <c r="F69" s="194"/>
      <c r="I69" s="252"/>
      <c r="J69" s="213"/>
      <c r="K69" s="210"/>
      <c r="N69" s="194"/>
      <c r="O69" s="168"/>
      <c r="P69" s="168"/>
      <c r="Q69" s="168"/>
      <c r="R69" s="168"/>
      <c r="S69" s="168" t="s">
        <v>145</v>
      </c>
    </row>
    <row r="70" spans="1:30">
      <c r="B70" s="213"/>
      <c r="I70" s="213"/>
      <c r="J70" s="168"/>
      <c r="N70" s="168"/>
      <c r="O70" s="168"/>
      <c r="P70" s="168"/>
      <c r="Q70" s="168"/>
      <c r="R70" s="168"/>
    </row>
    <row r="71" spans="1:30">
      <c r="I71" s="252"/>
      <c r="J71" s="213"/>
      <c r="N71" s="168"/>
    </row>
    <row r="72" spans="1:30" ht="12.75">
      <c r="A72" s="402" t="s">
        <v>379</v>
      </c>
      <c r="D72" s="194"/>
      <c r="G72"/>
      <c r="H72" s="194"/>
    </row>
    <row r="73" spans="1:30">
      <c r="A73" s="360"/>
      <c r="D73" s="360"/>
    </row>
    <row r="74" spans="1:30">
      <c r="A74" s="360"/>
      <c r="D74" s="360"/>
    </row>
    <row r="75" spans="1:30">
      <c r="A75" s="360"/>
    </row>
    <row r="76" spans="1:30">
      <c r="A76" s="360"/>
    </row>
  </sheetData>
  <autoFilter ref="A6:A73" xr:uid="{00000000-0009-0000-0000-000006000000}"/>
  <mergeCells count="20">
    <mergeCell ref="V6:V8"/>
    <mergeCell ref="W6:W8"/>
    <mergeCell ref="Y6:Y8"/>
    <mergeCell ref="Z6:Z8"/>
    <mergeCell ref="AA6:AA8"/>
    <mergeCell ref="X6:X8"/>
    <mergeCell ref="S6:S8"/>
    <mergeCell ref="T6:T8"/>
    <mergeCell ref="U6:U8"/>
    <mergeCell ref="K6:R7"/>
    <mergeCell ref="F6:F8"/>
    <mergeCell ref="G6:G8"/>
    <mergeCell ref="H6:H8"/>
    <mergeCell ref="I6:I8"/>
    <mergeCell ref="J6:J8"/>
    <mergeCell ref="A6:A8"/>
    <mergeCell ref="B6:B8"/>
    <mergeCell ref="C6:C8"/>
    <mergeCell ref="D6:D8"/>
    <mergeCell ref="E6:E8"/>
  </mergeCells>
  <pageMargins left="0" right="0" top="0" bottom="0" header="0.3" footer="0.3"/>
  <pageSetup paperSize="9" scale="5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B3:K135"/>
  <sheetViews>
    <sheetView view="pageBreakPreview" topLeftCell="C1" zoomScale="90" zoomScaleNormal="90" workbookViewId="0">
      <selection activeCell="I6" sqref="I6:K6"/>
    </sheetView>
  </sheetViews>
  <sheetFormatPr defaultColWidth="7.625" defaultRowHeight="15"/>
  <cols>
    <col min="1" max="1" width="3.625" style="4" customWidth="1"/>
    <col min="2" max="2" width="18.125" style="4" customWidth="1"/>
    <col min="3" max="3" width="23.125" style="4" customWidth="1"/>
    <col min="4" max="4" width="24.125" style="4" customWidth="1"/>
    <col min="5" max="5" width="23.375" style="4" customWidth="1"/>
    <col min="6" max="6" width="3" style="4" customWidth="1"/>
    <col min="7" max="7" width="17.875" style="4" customWidth="1"/>
    <col min="8" max="8" width="19.125" style="4" customWidth="1"/>
    <col min="9" max="9" width="22" style="4" customWidth="1"/>
    <col min="10" max="10" width="23.875" style="4" customWidth="1"/>
    <col min="11" max="16384" width="7.625" style="4"/>
  </cols>
  <sheetData>
    <row r="3" spans="2:10">
      <c r="C3" s="5"/>
      <c r="D3" s="5"/>
      <c r="H3" s="5"/>
      <c r="I3" s="5"/>
    </row>
    <row r="4" spans="2:10">
      <c r="C4" s="5"/>
      <c r="D4" s="5"/>
      <c r="H4" s="5"/>
      <c r="I4" s="5"/>
    </row>
    <row r="6" spans="2:10">
      <c r="G6" s="6"/>
      <c r="H6" s="7"/>
      <c r="I6" s="6"/>
      <c r="J6" s="6"/>
    </row>
    <row r="7" spans="2:10">
      <c r="B7" s="6" t="s">
        <v>223</v>
      </c>
      <c r="C7" s="8" t="s">
        <v>224</v>
      </c>
      <c r="D7" s="9" t="s">
        <v>225</v>
      </c>
      <c r="E7" s="8" t="s">
        <v>253</v>
      </c>
      <c r="G7" s="6" t="s">
        <v>223</v>
      </c>
      <c r="H7" s="8" t="s">
        <v>226</v>
      </c>
      <c r="I7" s="9" t="s">
        <v>225</v>
      </c>
      <c r="J7" s="8" t="str">
        <f>E7</f>
        <v>APRIL 25- MAY 10, 2022</v>
      </c>
    </row>
    <row r="8" spans="2:10">
      <c r="B8" s="6" t="s">
        <v>227</v>
      </c>
      <c r="C8" s="10" t="s">
        <v>228</v>
      </c>
      <c r="D8" s="9" t="s">
        <v>229</v>
      </c>
      <c r="E8" s="11">
        <v>44696</v>
      </c>
      <c r="G8" s="6" t="s">
        <v>227</v>
      </c>
      <c r="H8" s="10" t="s">
        <v>91</v>
      </c>
      <c r="I8" s="9" t="s">
        <v>229</v>
      </c>
      <c r="J8" s="11">
        <v>44696</v>
      </c>
    </row>
    <row r="9" spans="2:10">
      <c r="D9" s="6"/>
      <c r="E9" s="6"/>
      <c r="I9" s="28"/>
      <c r="J9" s="31"/>
    </row>
    <row r="11" spans="2:10">
      <c r="B11" s="564" t="s">
        <v>230</v>
      </c>
      <c r="C11" s="565"/>
      <c r="D11" s="12" t="s">
        <v>231</v>
      </c>
      <c r="E11" s="12" t="s">
        <v>232</v>
      </c>
      <c r="G11" s="564" t="s">
        <v>230</v>
      </c>
      <c r="H11" s="565"/>
      <c r="I11" s="12" t="s">
        <v>231</v>
      </c>
      <c r="J11" s="12" t="s">
        <v>232</v>
      </c>
    </row>
    <row r="12" spans="2:10" ht="25.5">
      <c r="B12" s="13" t="s">
        <v>207</v>
      </c>
      <c r="C12" s="14">
        <v>12750</v>
      </c>
      <c r="D12" s="15" t="s">
        <v>233</v>
      </c>
      <c r="E12" s="16" t="e">
        <v>#REF!</v>
      </c>
      <c r="G12" s="13" t="s">
        <v>207</v>
      </c>
      <c r="H12" s="14">
        <v>8000</v>
      </c>
      <c r="I12" s="15" t="s">
        <v>233</v>
      </c>
      <c r="J12" s="16" t="e">
        <f>#REF!</f>
        <v>#REF!</v>
      </c>
    </row>
    <row r="13" spans="2:10">
      <c r="B13" s="17" t="s">
        <v>234</v>
      </c>
      <c r="C13" s="16">
        <v>4250</v>
      </c>
      <c r="D13" s="18" t="s">
        <v>235</v>
      </c>
      <c r="E13" s="16">
        <v>3480</v>
      </c>
      <c r="G13" s="17" t="s">
        <v>234</v>
      </c>
      <c r="H13" s="16"/>
      <c r="I13" s="18" t="s">
        <v>235</v>
      </c>
      <c r="J13" s="16"/>
    </row>
    <row r="14" spans="2:10">
      <c r="B14" s="17" t="s">
        <v>236</v>
      </c>
      <c r="C14" s="16"/>
      <c r="D14" s="18" t="s">
        <v>146</v>
      </c>
      <c r="E14" s="16"/>
      <c r="G14" s="17" t="s">
        <v>236</v>
      </c>
      <c r="H14" s="16"/>
      <c r="I14" s="18" t="s">
        <v>146</v>
      </c>
      <c r="J14" s="16"/>
    </row>
    <row r="15" spans="2:10">
      <c r="B15" s="17" t="s">
        <v>202</v>
      </c>
      <c r="C15" s="16"/>
      <c r="D15" s="18" t="s">
        <v>237</v>
      </c>
      <c r="E15" s="16">
        <v>382.5</v>
      </c>
      <c r="G15" s="17" t="s">
        <v>202</v>
      </c>
      <c r="H15" s="16" t="e">
        <f>#REF!</f>
        <v>#REF!</v>
      </c>
      <c r="I15" s="18" t="s">
        <v>237</v>
      </c>
      <c r="J15" s="16"/>
    </row>
    <row r="16" spans="2:10">
      <c r="B16" s="17" t="s">
        <v>203</v>
      </c>
      <c r="C16" s="16"/>
      <c r="D16" s="18" t="s">
        <v>238</v>
      </c>
      <c r="E16" s="16">
        <v>500</v>
      </c>
      <c r="G16" s="17" t="s">
        <v>203</v>
      </c>
      <c r="H16" s="16"/>
      <c r="I16" s="18" t="s">
        <v>238</v>
      </c>
      <c r="J16" s="16"/>
    </row>
    <row r="17" spans="2:10">
      <c r="B17" s="17" t="s">
        <v>239</v>
      </c>
      <c r="C17" s="16"/>
      <c r="D17" s="18" t="s">
        <v>240</v>
      </c>
      <c r="E17" s="16">
        <v>466.7</v>
      </c>
      <c r="G17" s="17" t="s">
        <v>239</v>
      </c>
      <c r="H17" s="16"/>
      <c r="I17" s="18" t="s">
        <v>240</v>
      </c>
      <c r="J17" s="16"/>
    </row>
    <row r="18" spans="2:10">
      <c r="B18" s="17"/>
      <c r="C18" s="16"/>
      <c r="D18" s="17" t="s">
        <v>241</v>
      </c>
      <c r="E18" s="16">
        <v>147.16999999999999</v>
      </c>
      <c r="G18" s="17"/>
      <c r="H18" s="16"/>
      <c r="I18" s="17" t="s">
        <v>241</v>
      </c>
      <c r="J18" s="16"/>
    </row>
    <row r="19" spans="2:10">
      <c r="B19" s="19"/>
      <c r="C19" s="16"/>
      <c r="D19" s="17" t="s">
        <v>242</v>
      </c>
      <c r="E19" s="16">
        <v>250</v>
      </c>
      <c r="G19" s="19"/>
      <c r="H19" s="16"/>
      <c r="I19" s="17" t="s">
        <v>242</v>
      </c>
      <c r="J19" s="16"/>
    </row>
    <row r="20" spans="2:10">
      <c r="B20" s="19"/>
      <c r="C20" s="16"/>
      <c r="D20" s="17"/>
      <c r="E20" s="16"/>
      <c r="G20" s="19"/>
      <c r="H20" s="16"/>
      <c r="I20" s="17"/>
      <c r="J20" s="16"/>
    </row>
    <row r="21" spans="2:10">
      <c r="B21" s="20" t="s">
        <v>243</v>
      </c>
      <c r="C21" s="21">
        <f>SUM(C12:C19)</f>
        <v>17000</v>
      </c>
      <c r="D21" s="20" t="s">
        <v>244</v>
      </c>
      <c r="E21" s="21">
        <f>SUM(E13:E19)</f>
        <v>5226.37</v>
      </c>
      <c r="G21" s="20" t="s">
        <v>243</v>
      </c>
      <c r="H21" s="21" t="e">
        <f>SUM(H12:H19)</f>
        <v>#REF!</v>
      </c>
      <c r="I21" s="20" t="s">
        <v>244</v>
      </c>
      <c r="J21" s="21" t="e">
        <f>SUM(J12:J19)</f>
        <v>#REF!</v>
      </c>
    </row>
    <row r="22" spans="2:10" ht="9" customHeight="1">
      <c r="B22" s="22"/>
      <c r="C22" s="22"/>
      <c r="D22" s="22"/>
      <c r="G22" s="22"/>
      <c r="H22" s="22"/>
      <c r="I22" s="22"/>
    </row>
    <row r="23" spans="2:10">
      <c r="B23" s="23" t="s">
        <v>245</v>
      </c>
      <c r="C23" s="24"/>
      <c r="D23" s="24"/>
      <c r="E23" s="25">
        <f>C21-E21</f>
        <v>11773.630000000001</v>
      </c>
      <c r="G23" s="23" t="s">
        <v>245</v>
      </c>
      <c r="H23" s="24"/>
      <c r="I23" s="24"/>
      <c r="J23" s="25" t="e">
        <f>H21-J21</f>
        <v>#REF!</v>
      </c>
    </row>
    <row r="25" spans="2:10">
      <c r="B25" s="6" t="s">
        <v>246</v>
      </c>
      <c r="C25" s="6" t="s">
        <v>247</v>
      </c>
      <c r="D25" s="26" t="s">
        <v>248</v>
      </c>
      <c r="E25" s="6"/>
      <c r="G25" s="6" t="s">
        <v>246</v>
      </c>
      <c r="H25" s="6" t="s">
        <v>247</v>
      </c>
      <c r="I25" s="26" t="s">
        <v>248</v>
      </c>
      <c r="J25" s="6"/>
    </row>
    <row r="26" spans="2:10">
      <c r="B26" s="6"/>
      <c r="C26" s="6"/>
      <c r="D26" s="6"/>
      <c r="E26" s="6"/>
      <c r="G26" s="6"/>
      <c r="H26" s="6"/>
      <c r="I26" s="6"/>
      <c r="J26" s="6"/>
    </row>
    <row r="27" spans="2:10">
      <c r="B27" s="7" t="s">
        <v>249</v>
      </c>
      <c r="C27" s="7" t="s">
        <v>250</v>
      </c>
      <c r="D27" s="566" t="s">
        <v>251</v>
      </c>
      <c r="E27" s="566"/>
      <c r="G27" s="7" t="s">
        <v>249</v>
      </c>
      <c r="H27" s="7" t="s">
        <v>250</v>
      </c>
      <c r="I27" s="566" t="s">
        <v>251</v>
      </c>
      <c r="J27" s="566"/>
    </row>
    <row r="28" spans="2:10">
      <c r="B28" s="6" t="s">
        <v>208</v>
      </c>
      <c r="C28" s="6" t="s">
        <v>68</v>
      </c>
      <c r="D28" s="567" t="s">
        <v>252</v>
      </c>
      <c r="E28" s="567"/>
      <c r="G28" s="6" t="s">
        <v>208</v>
      </c>
      <c r="H28" s="6" t="s">
        <v>68</v>
      </c>
      <c r="I28" s="567" t="s">
        <v>252</v>
      </c>
      <c r="J28" s="567"/>
    </row>
    <row r="34" spans="2:10" ht="12" customHeight="1"/>
    <row r="37" spans="2:10">
      <c r="B37" s="6" t="s">
        <v>223</v>
      </c>
      <c r="C37" s="8" t="s">
        <v>92</v>
      </c>
      <c r="D37" s="9" t="s">
        <v>225</v>
      </c>
      <c r="E37" s="8" t="s">
        <v>253</v>
      </c>
      <c r="G37" s="6" t="s">
        <v>223</v>
      </c>
      <c r="H37" s="8" t="s">
        <v>94</v>
      </c>
      <c r="I37" s="9" t="s">
        <v>225</v>
      </c>
      <c r="J37" s="8" t="s">
        <v>253</v>
      </c>
    </row>
    <row r="38" spans="2:10">
      <c r="B38" s="6" t="s">
        <v>227</v>
      </c>
      <c r="C38" s="10" t="s">
        <v>93</v>
      </c>
      <c r="D38" s="9" t="s">
        <v>229</v>
      </c>
      <c r="E38" s="11">
        <v>44696</v>
      </c>
      <c r="G38" s="6" t="s">
        <v>227</v>
      </c>
      <c r="H38" s="10" t="s">
        <v>254</v>
      </c>
      <c r="I38" s="9" t="s">
        <v>229</v>
      </c>
      <c r="J38" s="11">
        <v>44696</v>
      </c>
    </row>
    <row r="39" spans="2:10">
      <c r="B39" s="6"/>
      <c r="C39" s="7"/>
      <c r="D39" s="28"/>
      <c r="E39" s="29"/>
      <c r="G39" s="6"/>
      <c r="H39" s="7"/>
      <c r="I39" s="28"/>
      <c r="J39" s="29"/>
    </row>
    <row r="40" spans="2:10">
      <c r="B40" s="564" t="s">
        <v>230</v>
      </c>
      <c r="C40" s="565"/>
      <c r="D40" s="12" t="s">
        <v>231</v>
      </c>
      <c r="E40" s="12" t="s">
        <v>232</v>
      </c>
      <c r="G40" s="564" t="s">
        <v>230</v>
      </c>
      <c r="H40" s="565"/>
      <c r="I40" s="12" t="s">
        <v>231</v>
      </c>
      <c r="J40" s="12" t="s">
        <v>232</v>
      </c>
    </row>
    <row r="41" spans="2:10" ht="25.5">
      <c r="B41" s="13" t="s">
        <v>207</v>
      </c>
      <c r="C41" s="14">
        <v>9250</v>
      </c>
      <c r="D41" s="15" t="s">
        <v>233</v>
      </c>
      <c r="E41" s="16" t="e">
        <v>#REF!</v>
      </c>
      <c r="G41" s="13" t="s">
        <v>207</v>
      </c>
      <c r="H41" s="14">
        <v>7500</v>
      </c>
      <c r="I41" s="15" t="s">
        <v>233</v>
      </c>
      <c r="J41" s="16" t="e">
        <v>#REF!</v>
      </c>
    </row>
    <row r="42" spans="2:10">
      <c r="B42" s="17" t="s">
        <v>234</v>
      </c>
      <c r="C42" s="16"/>
      <c r="D42" s="18" t="s">
        <v>235</v>
      </c>
      <c r="E42" s="16" t="e">
        <v>#REF!</v>
      </c>
      <c r="G42" s="17" t="s">
        <v>234</v>
      </c>
      <c r="H42" s="16">
        <v>2000</v>
      </c>
      <c r="I42" s="18" t="s">
        <v>235</v>
      </c>
      <c r="J42" s="16" t="e">
        <v>#REF!</v>
      </c>
    </row>
    <row r="43" spans="2:10">
      <c r="B43" s="17" t="s">
        <v>236</v>
      </c>
      <c r="C43" s="16"/>
      <c r="D43" s="18" t="s">
        <v>146</v>
      </c>
      <c r="E43" s="16"/>
      <c r="G43" s="17" t="s">
        <v>236</v>
      </c>
      <c r="H43" s="16"/>
      <c r="I43" s="18" t="s">
        <v>146</v>
      </c>
      <c r="J43" s="16"/>
    </row>
    <row r="44" spans="2:10">
      <c r="B44" s="17" t="s">
        <v>202</v>
      </c>
      <c r="C44" s="16"/>
      <c r="D44" s="18" t="s">
        <v>237</v>
      </c>
      <c r="E44" s="16">
        <v>277.5</v>
      </c>
      <c r="G44" s="17" t="s">
        <v>202</v>
      </c>
      <c r="H44" s="16"/>
      <c r="I44" s="18" t="s">
        <v>237</v>
      </c>
      <c r="J44" s="16">
        <v>225</v>
      </c>
    </row>
    <row r="45" spans="2:10">
      <c r="B45" s="17" t="s">
        <v>203</v>
      </c>
      <c r="C45" s="16"/>
      <c r="D45" s="18" t="s">
        <v>238</v>
      </c>
      <c r="E45" s="16">
        <v>100</v>
      </c>
      <c r="G45" s="17" t="s">
        <v>203</v>
      </c>
      <c r="H45" s="16"/>
      <c r="I45" s="18" t="s">
        <v>238</v>
      </c>
      <c r="J45" s="16" t="e">
        <v>#REF!</v>
      </c>
    </row>
    <row r="46" spans="2:10">
      <c r="B46" s="17" t="s">
        <v>239</v>
      </c>
      <c r="C46" s="16"/>
      <c r="D46" s="18" t="s">
        <v>240</v>
      </c>
      <c r="E46" s="16"/>
      <c r="G46" s="17" t="s">
        <v>239</v>
      </c>
      <c r="H46" s="16"/>
      <c r="I46" s="18" t="s">
        <v>240</v>
      </c>
      <c r="J46" s="16"/>
    </row>
    <row r="47" spans="2:10">
      <c r="B47" s="17"/>
      <c r="C47" s="16"/>
      <c r="D47" s="17" t="s">
        <v>241</v>
      </c>
      <c r="E47" s="16">
        <v>109.23</v>
      </c>
      <c r="G47" s="17"/>
      <c r="H47" s="16"/>
      <c r="I47" s="17" t="s">
        <v>241</v>
      </c>
      <c r="J47" s="16">
        <v>109.23</v>
      </c>
    </row>
    <row r="48" spans="2:10">
      <c r="B48" s="19"/>
      <c r="C48" s="16"/>
      <c r="D48" s="17" t="s">
        <v>242</v>
      </c>
      <c r="E48" s="16"/>
      <c r="G48" s="19"/>
      <c r="H48" s="16"/>
      <c r="I48" s="17" t="s">
        <v>242</v>
      </c>
      <c r="J48" s="16"/>
    </row>
    <row r="49" spans="2:10">
      <c r="B49" s="19"/>
      <c r="C49" s="16"/>
      <c r="D49" s="17"/>
      <c r="E49" s="16"/>
      <c r="G49" s="19"/>
      <c r="H49" s="16"/>
      <c r="I49" s="17"/>
      <c r="J49" s="16"/>
    </row>
    <row r="50" spans="2:10">
      <c r="B50" s="20" t="s">
        <v>243</v>
      </c>
      <c r="C50" s="21">
        <f>SUM(C41:C48)</f>
        <v>9250</v>
      </c>
      <c r="D50" s="20" t="s">
        <v>244</v>
      </c>
      <c r="E50" s="21" t="e">
        <f>SUM(E42:E48)</f>
        <v>#REF!</v>
      </c>
      <c r="G50" s="20" t="s">
        <v>243</v>
      </c>
      <c r="H50" s="21">
        <f>SUM(H41:H48)</f>
        <v>9500</v>
      </c>
      <c r="I50" s="20" t="s">
        <v>244</v>
      </c>
      <c r="J50" s="21" t="e">
        <f>SUM(J42:J48)</f>
        <v>#REF!</v>
      </c>
    </row>
    <row r="51" spans="2:10" ht="6" customHeight="1">
      <c r="B51" s="22"/>
      <c r="C51" s="22"/>
      <c r="D51" s="22"/>
      <c r="G51" s="22"/>
      <c r="H51" s="22"/>
      <c r="I51" s="22"/>
    </row>
    <row r="52" spans="2:10">
      <c r="B52" s="23" t="s">
        <v>245</v>
      </c>
      <c r="C52" s="24"/>
      <c r="D52" s="24"/>
      <c r="E52" s="25" t="e">
        <f>C50-E50</f>
        <v>#REF!</v>
      </c>
      <c r="G52" s="23" t="s">
        <v>245</v>
      </c>
      <c r="H52" s="24"/>
      <c r="I52" s="24"/>
      <c r="J52" s="25" t="e">
        <f>H50-J50</f>
        <v>#REF!</v>
      </c>
    </row>
    <row r="53" spans="2:10">
      <c r="B53" s="22"/>
      <c r="C53" s="30"/>
      <c r="D53" s="22"/>
      <c r="E53" s="30"/>
      <c r="G53" s="22"/>
      <c r="H53" s="30"/>
      <c r="I53" s="22"/>
      <c r="J53" s="30"/>
    </row>
    <row r="54" spans="2:10" ht="17.100000000000001" customHeight="1">
      <c r="B54" s="6" t="s">
        <v>246</v>
      </c>
      <c r="C54" s="6" t="s">
        <v>247</v>
      </c>
      <c r="D54" s="26" t="s">
        <v>248</v>
      </c>
      <c r="E54" s="6"/>
      <c r="G54" s="6" t="s">
        <v>246</v>
      </c>
      <c r="H54" s="6" t="s">
        <v>247</v>
      </c>
      <c r="I54" s="26" t="s">
        <v>248</v>
      </c>
      <c r="J54" s="6"/>
    </row>
    <row r="55" spans="2:10">
      <c r="B55" s="6"/>
      <c r="C55" s="6"/>
      <c r="D55" s="6"/>
      <c r="E55" s="6"/>
      <c r="G55" s="6"/>
      <c r="H55" s="6"/>
      <c r="I55" s="6"/>
      <c r="J55" s="6"/>
    </row>
    <row r="56" spans="2:10">
      <c r="B56" s="7" t="s">
        <v>249</v>
      </c>
      <c r="C56" s="27" t="s">
        <v>250</v>
      </c>
      <c r="D56" s="566" t="s">
        <v>251</v>
      </c>
      <c r="E56" s="566"/>
      <c r="G56" s="7" t="s">
        <v>249</v>
      </c>
      <c r="H56" s="27" t="s">
        <v>250</v>
      </c>
      <c r="I56" s="566" t="s">
        <v>251</v>
      </c>
      <c r="J56" s="566"/>
    </row>
    <row r="57" spans="2:10">
      <c r="B57" s="6" t="s">
        <v>208</v>
      </c>
      <c r="C57" s="9" t="s">
        <v>68</v>
      </c>
      <c r="D57" s="567" t="s">
        <v>252</v>
      </c>
      <c r="E57" s="567"/>
      <c r="G57" s="6" t="s">
        <v>208</v>
      </c>
      <c r="H57" s="9" t="s">
        <v>68</v>
      </c>
      <c r="I57" s="567" t="s">
        <v>252</v>
      </c>
      <c r="J57" s="567"/>
    </row>
    <row r="64" spans="2:10">
      <c r="B64" s="6" t="s">
        <v>223</v>
      </c>
      <c r="C64" s="8" t="s">
        <v>255</v>
      </c>
      <c r="D64" s="9" t="s">
        <v>225</v>
      </c>
      <c r="E64" s="8" t="s">
        <v>253</v>
      </c>
      <c r="G64" s="6" t="s">
        <v>223</v>
      </c>
      <c r="H64" s="8" t="s">
        <v>256</v>
      </c>
      <c r="I64" s="9" t="s">
        <v>225</v>
      </c>
      <c r="J64" s="8" t="s">
        <v>253</v>
      </c>
    </row>
    <row r="65" spans="2:11">
      <c r="B65" s="6" t="s">
        <v>227</v>
      </c>
      <c r="C65" s="10" t="s">
        <v>222</v>
      </c>
      <c r="D65" s="9" t="s">
        <v>229</v>
      </c>
      <c r="E65" s="11">
        <v>44696</v>
      </c>
      <c r="G65" s="6" t="s">
        <v>227</v>
      </c>
      <c r="H65" s="10" t="s">
        <v>195</v>
      </c>
      <c r="I65" s="9" t="s">
        <v>229</v>
      </c>
      <c r="J65" s="11">
        <v>44696</v>
      </c>
    </row>
    <row r="66" spans="2:11">
      <c r="B66" s="6"/>
      <c r="C66" s="7"/>
      <c r="D66" s="28"/>
      <c r="E66" s="29"/>
      <c r="G66" s="6"/>
      <c r="H66" s="7"/>
      <c r="I66" s="28"/>
      <c r="J66" s="29"/>
    </row>
    <row r="67" spans="2:11">
      <c r="B67" s="564" t="s">
        <v>230</v>
      </c>
      <c r="C67" s="565"/>
      <c r="D67" s="12" t="s">
        <v>231</v>
      </c>
      <c r="E67" s="12" t="s">
        <v>232</v>
      </c>
      <c r="G67" s="564" t="s">
        <v>230</v>
      </c>
      <c r="H67" s="565"/>
      <c r="I67" s="12" t="s">
        <v>231</v>
      </c>
      <c r="J67" s="12" t="s">
        <v>232</v>
      </c>
    </row>
    <row r="68" spans="2:11" ht="25.5">
      <c r="B68" s="13" t="s">
        <v>207</v>
      </c>
      <c r="C68" s="14">
        <v>7500</v>
      </c>
      <c r="D68" s="15" t="s">
        <v>233</v>
      </c>
      <c r="E68" s="16" t="e">
        <v>#REF!</v>
      </c>
      <c r="G68" s="13" t="s">
        <v>207</v>
      </c>
      <c r="H68" s="14">
        <v>5000</v>
      </c>
      <c r="I68" s="15" t="s">
        <v>233</v>
      </c>
      <c r="J68" s="16">
        <v>384.62</v>
      </c>
    </row>
    <row r="69" spans="2:11">
      <c r="B69" s="17" t="s">
        <v>234</v>
      </c>
      <c r="C69" s="16">
        <v>1000</v>
      </c>
      <c r="D69" s="18" t="s">
        <v>235</v>
      </c>
      <c r="E69" s="16" t="e">
        <v>#REF!</v>
      </c>
      <c r="G69" s="17" t="s">
        <v>234</v>
      </c>
      <c r="H69" s="16" t="e">
        <v>#REF!</v>
      </c>
      <c r="I69" s="18" t="s">
        <v>235</v>
      </c>
      <c r="J69" s="16" t="e">
        <v>#REF!</v>
      </c>
    </row>
    <row r="70" spans="2:11">
      <c r="B70" s="17" t="s">
        <v>236</v>
      </c>
      <c r="C70" s="16"/>
      <c r="D70" s="18" t="s">
        <v>146</v>
      </c>
      <c r="E70" s="16"/>
      <c r="G70" s="17" t="s">
        <v>236</v>
      </c>
      <c r="H70" s="16"/>
      <c r="I70" s="18" t="s">
        <v>146</v>
      </c>
      <c r="J70" s="16"/>
    </row>
    <row r="71" spans="2:11">
      <c r="B71" s="17" t="s">
        <v>202</v>
      </c>
      <c r="C71" s="16"/>
      <c r="D71" s="18" t="s">
        <v>237</v>
      </c>
      <c r="E71" s="16">
        <v>225</v>
      </c>
      <c r="G71" s="17" t="s">
        <v>202</v>
      </c>
      <c r="H71" s="16"/>
      <c r="I71" s="18" t="s">
        <v>237</v>
      </c>
      <c r="J71" s="16">
        <v>150</v>
      </c>
    </row>
    <row r="72" spans="2:11">
      <c r="B72" s="17" t="s">
        <v>203</v>
      </c>
      <c r="C72" s="16"/>
      <c r="D72" s="18" t="s">
        <v>238</v>
      </c>
      <c r="E72" s="16">
        <v>100</v>
      </c>
      <c r="G72" s="17" t="s">
        <v>203</v>
      </c>
      <c r="H72" s="16">
        <v>1269.23</v>
      </c>
      <c r="I72" s="18" t="s">
        <v>238</v>
      </c>
      <c r="J72" s="16">
        <v>100</v>
      </c>
    </row>
    <row r="73" spans="2:11">
      <c r="B73" s="17" t="s">
        <v>239</v>
      </c>
      <c r="C73" s="16"/>
      <c r="D73" s="18" t="s">
        <v>240</v>
      </c>
      <c r="E73" s="16"/>
      <c r="G73" s="17" t="s">
        <v>239</v>
      </c>
      <c r="H73" s="16"/>
      <c r="I73" s="18" t="s">
        <v>240</v>
      </c>
      <c r="J73" s="16"/>
    </row>
    <row r="74" spans="2:11" ht="15" customHeight="1">
      <c r="B74" s="17"/>
      <c r="C74" s="16"/>
      <c r="D74" s="17" t="s">
        <v>241</v>
      </c>
      <c r="E74" s="16">
        <v>142.58000000000001</v>
      </c>
      <c r="G74" s="17"/>
      <c r="H74" s="16"/>
      <c r="I74" s="17" t="s">
        <v>241</v>
      </c>
      <c r="J74" s="16"/>
    </row>
    <row r="75" spans="2:11" ht="16.350000000000001" customHeight="1">
      <c r="B75" s="19"/>
      <c r="C75" s="16"/>
      <c r="D75" s="17" t="s">
        <v>242</v>
      </c>
      <c r="E75" s="16"/>
      <c r="G75" s="19"/>
      <c r="H75" s="16"/>
      <c r="I75" s="17" t="s">
        <v>242</v>
      </c>
      <c r="J75" s="16"/>
    </row>
    <row r="76" spans="2:11">
      <c r="B76" s="19"/>
      <c r="C76" s="16"/>
      <c r="D76" s="17"/>
      <c r="E76" s="16"/>
      <c r="G76" s="19"/>
      <c r="H76" s="16"/>
      <c r="I76" s="17"/>
      <c r="J76" s="16"/>
    </row>
    <row r="77" spans="2:11">
      <c r="B77" s="20" t="s">
        <v>243</v>
      </c>
      <c r="C77" s="21">
        <f>SUM(C68:C75)</f>
        <v>8500</v>
      </c>
      <c r="D77" s="20" t="s">
        <v>244</v>
      </c>
      <c r="E77" s="21" t="e">
        <f>SUM(E69:E75)</f>
        <v>#REF!</v>
      </c>
      <c r="G77" s="20" t="s">
        <v>243</v>
      </c>
      <c r="H77" s="21" t="e">
        <f>SUM(H68:H75)</f>
        <v>#REF!</v>
      </c>
      <c r="I77" s="20" t="s">
        <v>244</v>
      </c>
      <c r="J77" s="21" t="e">
        <f>SUM(J68:J75)</f>
        <v>#REF!</v>
      </c>
      <c r="K77" s="6"/>
    </row>
    <row r="78" spans="2:11">
      <c r="B78" s="22"/>
      <c r="C78" s="22"/>
      <c r="D78" s="22"/>
      <c r="G78" s="22"/>
      <c r="H78" s="22"/>
      <c r="I78" s="22"/>
      <c r="K78" s="6"/>
    </row>
    <row r="79" spans="2:11">
      <c r="B79" s="23" t="s">
        <v>245</v>
      </c>
      <c r="C79" s="24"/>
      <c r="D79" s="24"/>
      <c r="E79" s="25" t="e">
        <f>C77-E77</f>
        <v>#REF!</v>
      </c>
      <c r="G79" s="23" t="s">
        <v>245</v>
      </c>
      <c r="H79" s="24"/>
      <c r="I79" s="24"/>
      <c r="J79" s="25" t="e">
        <f>H77-J77</f>
        <v>#REF!</v>
      </c>
    </row>
    <row r="80" spans="2:11">
      <c r="B80" s="22"/>
      <c r="C80" s="30"/>
      <c r="D80" s="22"/>
      <c r="E80" s="30"/>
      <c r="G80" s="22"/>
      <c r="H80" s="30"/>
      <c r="I80" s="22"/>
      <c r="J80" s="30"/>
    </row>
    <row r="81" spans="2:10">
      <c r="B81" s="6" t="s">
        <v>246</v>
      </c>
      <c r="C81" s="6" t="s">
        <v>247</v>
      </c>
      <c r="D81" s="26" t="s">
        <v>248</v>
      </c>
      <c r="E81" s="6"/>
      <c r="G81" s="6" t="s">
        <v>246</v>
      </c>
      <c r="H81" s="6" t="s">
        <v>247</v>
      </c>
      <c r="I81" s="26" t="s">
        <v>248</v>
      </c>
      <c r="J81" s="6"/>
    </row>
    <row r="82" spans="2:10" ht="9" customHeight="1">
      <c r="B82" s="6"/>
      <c r="C82" s="6"/>
      <c r="D82" s="6"/>
      <c r="E82" s="6"/>
      <c r="G82" s="6"/>
      <c r="H82" s="6"/>
      <c r="I82" s="6"/>
      <c r="J82" s="6"/>
    </row>
    <row r="83" spans="2:10">
      <c r="B83" s="7" t="s">
        <v>249</v>
      </c>
      <c r="C83" s="27" t="s">
        <v>250</v>
      </c>
      <c r="D83" s="566" t="s">
        <v>251</v>
      </c>
      <c r="E83" s="566"/>
      <c r="G83" s="7" t="s">
        <v>249</v>
      </c>
      <c r="H83" s="27" t="s">
        <v>250</v>
      </c>
      <c r="I83" s="566" t="s">
        <v>251</v>
      </c>
      <c r="J83" s="566"/>
    </row>
    <row r="84" spans="2:10">
      <c r="B84" s="6" t="s">
        <v>208</v>
      </c>
      <c r="C84" s="9" t="s">
        <v>68</v>
      </c>
      <c r="D84" s="567" t="s">
        <v>252</v>
      </c>
      <c r="E84" s="567"/>
      <c r="G84" s="6" t="s">
        <v>208</v>
      </c>
      <c r="H84" s="9" t="s">
        <v>68</v>
      </c>
      <c r="I84" s="567" t="s">
        <v>252</v>
      </c>
      <c r="J84" s="567"/>
    </row>
    <row r="92" spans="2:10">
      <c r="B92" s="6" t="s">
        <v>223</v>
      </c>
      <c r="C92" s="8" t="s">
        <v>257</v>
      </c>
      <c r="D92" s="9" t="s">
        <v>225</v>
      </c>
      <c r="E92" s="8" t="s">
        <v>253</v>
      </c>
      <c r="G92" s="6"/>
      <c r="H92" s="7"/>
      <c r="I92" s="9"/>
      <c r="J92" s="7"/>
    </row>
    <row r="93" spans="2:10">
      <c r="B93" s="6" t="s">
        <v>227</v>
      </c>
      <c r="C93" s="10" t="s">
        <v>199</v>
      </c>
      <c r="D93" s="9" t="s">
        <v>229</v>
      </c>
      <c r="E93" s="11">
        <v>44696</v>
      </c>
      <c r="G93" s="6"/>
      <c r="H93" s="7"/>
      <c r="I93" s="9"/>
      <c r="J93" s="43"/>
    </row>
    <row r="94" spans="2:10">
      <c r="B94" s="6"/>
      <c r="C94" s="7"/>
      <c r="D94" s="28"/>
      <c r="E94" s="29"/>
      <c r="G94" s="6"/>
      <c r="H94" s="7"/>
      <c r="I94" s="28"/>
      <c r="J94" s="29"/>
    </row>
    <row r="95" spans="2:10">
      <c r="B95" s="564" t="s">
        <v>230</v>
      </c>
      <c r="C95" s="565"/>
      <c r="D95" s="12" t="s">
        <v>231</v>
      </c>
      <c r="E95" s="12" t="s">
        <v>232</v>
      </c>
      <c r="G95" s="568"/>
      <c r="H95" s="568"/>
      <c r="I95" s="32"/>
      <c r="J95" s="32"/>
    </row>
    <row r="96" spans="2:10">
      <c r="B96" s="13" t="s">
        <v>207</v>
      </c>
      <c r="C96" s="14">
        <v>7500</v>
      </c>
      <c r="D96" s="15" t="s">
        <v>233</v>
      </c>
      <c r="E96" s="16" t="e">
        <v>#REF!</v>
      </c>
      <c r="G96" s="33"/>
      <c r="H96" s="34"/>
      <c r="I96" s="44"/>
      <c r="J96" s="35"/>
    </row>
    <row r="97" spans="2:10">
      <c r="B97" s="17" t="s">
        <v>234</v>
      </c>
      <c r="C97" s="16" t="e">
        <v>#REF!</v>
      </c>
      <c r="D97" s="18" t="s">
        <v>235</v>
      </c>
      <c r="E97" s="16" t="e">
        <v>#REF!</v>
      </c>
      <c r="H97" s="35"/>
      <c r="I97" s="42"/>
      <c r="J97" s="35"/>
    </row>
    <row r="98" spans="2:10">
      <c r="B98" s="17" t="s">
        <v>236</v>
      </c>
      <c r="C98" s="16"/>
      <c r="D98" s="18" t="s">
        <v>146</v>
      </c>
      <c r="E98" s="16"/>
      <c r="H98" s="35"/>
      <c r="I98" s="42"/>
      <c r="J98" s="35"/>
    </row>
    <row r="99" spans="2:10">
      <c r="B99" s="17" t="s">
        <v>202</v>
      </c>
      <c r="C99" s="16"/>
      <c r="D99" s="18" t="s">
        <v>237</v>
      </c>
      <c r="E99" s="16">
        <v>225</v>
      </c>
      <c r="H99" s="35"/>
      <c r="I99" s="42"/>
      <c r="J99" s="35"/>
    </row>
    <row r="100" spans="2:10" ht="15" customHeight="1">
      <c r="B100" s="17" t="s">
        <v>203</v>
      </c>
      <c r="C100" s="16"/>
      <c r="D100" s="18" t="s">
        <v>238</v>
      </c>
      <c r="E100" s="16">
        <v>100</v>
      </c>
      <c r="H100" s="35"/>
      <c r="I100" s="42"/>
      <c r="J100" s="35"/>
    </row>
    <row r="101" spans="2:10" ht="18" customHeight="1">
      <c r="B101" s="17" t="s">
        <v>239</v>
      </c>
      <c r="C101" s="16"/>
      <c r="D101" s="18" t="s">
        <v>240</v>
      </c>
      <c r="E101" s="16"/>
      <c r="H101" s="35"/>
      <c r="I101" s="42"/>
      <c r="J101" s="35"/>
    </row>
    <row r="102" spans="2:10">
      <c r="B102" s="17"/>
      <c r="C102" s="16"/>
      <c r="D102" s="17" t="s">
        <v>241</v>
      </c>
      <c r="E102" s="16">
        <v>71.290000000000006</v>
      </c>
      <c r="H102" s="35"/>
      <c r="J102" s="35"/>
    </row>
    <row r="103" spans="2:10">
      <c r="B103" s="19"/>
      <c r="C103" s="16"/>
      <c r="D103" s="17" t="s">
        <v>242</v>
      </c>
      <c r="E103" s="16"/>
      <c r="G103" s="36"/>
      <c r="H103" s="35"/>
      <c r="J103" s="35"/>
    </row>
    <row r="104" spans="2:10">
      <c r="B104" s="19"/>
      <c r="C104" s="16"/>
      <c r="D104" s="17"/>
      <c r="E104" s="16"/>
      <c r="G104" s="36"/>
      <c r="H104" s="35"/>
      <c r="J104" s="35"/>
    </row>
    <row r="105" spans="2:10">
      <c r="B105" s="20" t="s">
        <v>243</v>
      </c>
      <c r="C105" s="21" t="e">
        <f>SUM(C96:C103)</f>
        <v>#REF!</v>
      </c>
      <c r="D105" s="20" t="s">
        <v>244</v>
      </c>
      <c r="E105" s="21" t="e">
        <f>SUM(E97:E103)</f>
        <v>#REF!</v>
      </c>
      <c r="G105" s="22"/>
      <c r="H105" s="30"/>
      <c r="I105" s="22"/>
      <c r="J105" s="30"/>
    </row>
    <row r="106" spans="2:10">
      <c r="B106" s="22"/>
      <c r="C106" s="22"/>
      <c r="D106" s="22"/>
      <c r="G106" s="22"/>
      <c r="H106" s="22"/>
      <c r="I106" s="22"/>
    </row>
    <row r="107" spans="2:10">
      <c r="B107" s="23" t="s">
        <v>245</v>
      </c>
      <c r="C107" s="24"/>
      <c r="D107" s="24"/>
      <c r="E107" s="25" t="e">
        <f>C105-E105</f>
        <v>#REF!</v>
      </c>
      <c r="G107" s="37"/>
      <c r="H107" s="37"/>
      <c r="I107" s="37"/>
      <c r="J107" s="45"/>
    </row>
    <row r="108" spans="2:10">
      <c r="B108" s="22"/>
      <c r="C108" s="30"/>
      <c r="D108" s="22"/>
      <c r="E108" s="30"/>
      <c r="G108" s="22"/>
      <c r="H108" s="30"/>
      <c r="I108" s="22"/>
      <c r="J108" s="30"/>
    </row>
    <row r="109" spans="2:10">
      <c r="B109" s="6" t="s">
        <v>246</v>
      </c>
      <c r="C109" s="6" t="s">
        <v>247</v>
      </c>
      <c r="D109" s="26" t="s">
        <v>248</v>
      </c>
      <c r="E109" s="6"/>
      <c r="G109" s="6"/>
      <c r="H109" s="6"/>
      <c r="I109" s="26"/>
      <c r="J109" s="6"/>
    </row>
    <row r="110" spans="2:10">
      <c r="B110" s="6"/>
      <c r="C110" s="6"/>
      <c r="D110" s="6"/>
      <c r="E110" s="6"/>
      <c r="G110" s="6"/>
      <c r="H110" s="6"/>
      <c r="I110" s="6"/>
      <c r="J110" s="6"/>
    </row>
    <row r="111" spans="2:10">
      <c r="B111" s="7" t="s">
        <v>249</v>
      </c>
      <c r="C111" s="27" t="s">
        <v>250</v>
      </c>
      <c r="D111" s="566" t="s">
        <v>251</v>
      </c>
      <c r="E111" s="566"/>
      <c r="G111" s="7"/>
      <c r="H111" s="27"/>
      <c r="I111" s="566"/>
      <c r="J111" s="566"/>
    </row>
    <row r="112" spans="2:10">
      <c r="B112" s="6" t="s">
        <v>208</v>
      </c>
      <c r="C112" s="9" t="s">
        <v>68</v>
      </c>
      <c r="D112" s="567" t="s">
        <v>252</v>
      </c>
      <c r="E112" s="567"/>
      <c r="G112" s="6"/>
      <c r="H112" s="9"/>
      <c r="I112" s="567"/>
      <c r="J112" s="567"/>
    </row>
    <row r="113" spans="2:10">
      <c r="C113" s="5"/>
      <c r="D113" s="5"/>
    </row>
    <row r="115" spans="2:10">
      <c r="B115" s="6"/>
      <c r="C115" s="7"/>
      <c r="D115" s="6"/>
      <c r="E115" s="6"/>
      <c r="G115" s="6"/>
      <c r="H115" s="7"/>
      <c r="I115" s="6"/>
      <c r="J115" s="6"/>
    </row>
    <row r="116" spans="2:10">
      <c r="B116" s="6"/>
      <c r="C116" s="7"/>
      <c r="D116" s="9"/>
      <c r="E116" s="29"/>
      <c r="G116" s="6"/>
      <c r="H116" s="7"/>
      <c r="I116" s="9"/>
      <c r="J116" s="29"/>
    </row>
    <row r="117" spans="2:10">
      <c r="B117" s="6"/>
      <c r="C117" s="7"/>
      <c r="D117" s="9"/>
      <c r="E117" s="27"/>
      <c r="G117" s="6"/>
      <c r="H117" s="7"/>
      <c r="I117" s="9"/>
      <c r="J117" s="27"/>
    </row>
    <row r="118" spans="2:10">
      <c r="B118" s="6"/>
      <c r="C118" s="27"/>
      <c r="D118" s="6"/>
      <c r="E118" s="31"/>
      <c r="G118" s="38"/>
      <c r="H118" s="38"/>
      <c r="I118" s="38"/>
      <c r="J118" s="31"/>
    </row>
    <row r="119" spans="2:10">
      <c r="G119" s="39"/>
      <c r="H119" s="40"/>
      <c r="I119" s="40"/>
    </row>
    <row r="120" spans="2:10">
      <c r="B120" s="41"/>
      <c r="C120" s="41"/>
      <c r="D120" s="41"/>
      <c r="E120" s="41"/>
      <c r="G120" s="41"/>
      <c r="H120" s="41"/>
      <c r="I120" s="41"/>
      <c r="J120" s="41"/>
    </row>
    <row r="121" spans="2:10">
      <c r="C121" s="35"/>
      <c r="D121" s="42"/>
      <c r="E121" s="35"/>
      <c r="H121" s="35"/>
      <c r="I121" s="42"/>
      <c r="J121" s="35"/>
    </row>
    <row r="122" spans="2:10">
      <c r="C122" s="35"/>
      <c r="D122" s="42"/>
      <c r="E122" s="35"/>
      <c r="H122" s="35"/>
      <c r="I122" s="42"/>
      <c r="J122" s="35"/>
    </row>
    <row r="123" spans="2:10">
      <c r="C123" s="35"/>
      <c r="D123" s="42"/>
      <c r="E123" s="35"/>
      <c r="H123" s="35"/>
      <c r="I123" s="42"/>
      <c r="J123" s="35"/>
    </row>
    <row r="124" spans="2:10">
      <c r="C124" s="35"/>
      <c r="D124" s="42"/>
      <c r="E124" s="35"/>
      <c r="H124" s="35"/>
      <c r="I124" s="42"/>
      <c r="J124" s="35"/>
    </row>
    <row r="125" spans="2:10">
      <c r="C125" s="35"/>
      <c r="D125" s="42"/>
      <c r="E125" s="35"/>
      <c r="H125" s="35"/>
      <c r="I125" s="42"/>
      <c r="J125" s="35"/>
    </row>
    <row r="126" spans="2:10">
      <c r="C126" s="35"/>
      <c r="D126" s="42"/>
      <c r="E126" s="35"/>
      <c r="H126" s="35"/>
      <c r="I126" s="42"/>
      <c r="J126" s="35"/>
    </row>
    <row r="127" spans="2:10">
      <c r="C127" s="35"/>
      <c r="D127" s="42"/>
      <c r="E127" s="35"/>
      <c r="H127" s="35"/>
      <c r="I127" s="42"/>
      <c r="J127" s="35"/>
    </row>
    <row r="128" spans="2:10">
      <c r="B128" s="22"/>
      <c r="C128" s="30"/>
      <c r="D128" s="22"/>
      <c r="E128" s="30"/>
      <c r="G128" s="22"/>
      <c r="H128" s="30"/>
      <c r="I128" s="22"/>
      <c r="J128" s="30"/>
    </row>
    <row r="129" spans="2:10" ht="9" customHeight="1">
      <c r="B129" s="22"/>
      <c r="C129" s="22"/>
      <c r="D129" s="22"/>
      <c r="G129" s="22"/>
      <c r="H129" s="22"/>
      <c r="I129" s="22"/>
    </row>
    <row r="130" spans="2:10">
      <c r="B130" s="22"/>
      <c r="C130" s="22"/>
      <c r="D130" s="22"/>
      <c r="E130" s="30"/>
      <c r="G130" s="22"/>
      <c r="H130" s="22"/>
      <c r="I130" s="22"/>
      <c r="J130" s="30"/>
    </row>
    <row r="132" spans="2:10">
      <c r="B132" s="6"/>
      <c r="C132" s="6"/>
      <c r="D132" s="6"/>
      <c r="E132" s="6"/>
      <c r="G132" s="6"/>
      <c r="H132" s="6"/>
      <c r="I132" s="6"/>
      <c r="J132" s="6"/>
    </row>
    <row r="133" spans="2:10">
      <c r="B133" s="6"/>
      <c r="C133" s="6"/>
      <c r="D133" s="6"/>
      <c r="E133" s="6"/>
      <c r="G133" s="6"/>
      <c r="H133" s="6"/>
      <c r="I133" s="6"/>
      <c r="J133" s="6"/>
    </row>
    <row r="134" spans="2:10">
      <c r="B134" s="7"/>
      <c r="C134" s="7"/>
      <c r="D134" s="7"/>
      <c r="E134" s="6"/>
      <c r="G134" s="7"/>
      <c r="H134" s="7"/>
      <c r="I134" s="7"/>
      <c r="J134" s="6"/>
    </row>
    <row r="135" spans="2:10">
      <c r="B135" s="6"/>
      <c r="C135" s="6"/>
      <c r="D135" s="46"/>
      <c r="E135" s="6"/>
      <c r="G135" s="6"/>
      <c r="H135" s="6"/>
      <c r="I135" s="46"/>
      <c r="J135" s="6"/>
    </row>
  </sheetData>
  <mergeCells count="24">
    <mergeCell ref="B95:C95"/>
    <mergeCell ref="G95:H95"/>
    <mergeCell ref="D111:E111"/>
    <mergeCell ref="I111:J111"/>
    <mergeCell ref="D112:E112"/>
    <mergeCell ref="I112:J112"/>
    <mergeCell ref="B67:C67"/>
    <mergeCell ref="G67:H67"/>
    <mergeCell ref="D83:E83"/>
    <mergeCell ref="I83:J83"/>
    <mergeCell ref="D84:E84"/>
    <mergeCell ref="I84:J84"/>
    <mergeCell ref="B40:C40"/>
    <mergeCell ref="G40:H40"/>
    <mergeCell ref="D56:E56"/>
    <mergeCell ref="I56:J56"/>
    <mergeCell ref="D57:E57"/>
    <mergeCell ref="I57:J57"/>
    <mergeCell ref="B11:C11"/>
    <mergeCell ref="G11:H11"/>
    <mergeCell ref="D27:E27"/>
    <mergeCell ref="I27:J27"/>
    <mergeCell ref="D28:E28"/>
    <mergeCell ref="I28:J28"/>
  </mergeCells>
  <dataValidations count="1">
    <dataValidation type="list" allowBlank="1" showInputMessage="1" showErrorMessage="1" sqref="I119" xr:uid="{00000000-0002-0000-0800-000000000000}">
      <formula1>'ADMIN (2)'!DateCalc</formula1>
    </dataValidation>
  </dataValidations>
  <pageMargins left="0.25" right="0.25" top="0.75" bottom="0.75" header="0.29861111111111099" footer="0.29861111111111099"/>
  <pageSetup paperSize="9" scale="84" orientation="portrait" horizontalDpi="360" verticalDpi="360" r:id="rId1"/>
  <rowBreaks count="2" manualBreakCount="2">
    <brk id="57" max="16383" man="1"/>
    <brk id="112" max="16383" man="1"/>
  </rowBreaks>
  <colBreaks count="1" manualBreakCount="1">
    <brk id="6" max="1048575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1000000}">
          <x14:formula1>
            <xm:f>Data!#REF!</xm:f>
          </x14:formula1>
          <xm:sqref>G119 H119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F32"/>
  <sheetViews>
    <sheetView showGridLines="0" workbookViewId="0">
      <selection activeCell="G14" sqref="G14"/>
    </sheetView>
  </sheetViews>
  <sheetFormatPr defaultColWidth="9" defaultRowHeight="12.75"/>
  <cols>
    <col min="1" max="1" width="9" style="1"/>
    <col min="2" max="2" width="9.625" style="1" customWidth="1"/>
    <col min="3" max="3" width="9" style="1"/>
    <col min="4" max="4" width="11.125" style="1" customWidth="1"/>
    <col min="5" max="5" width="3.5" customWidth="1"/>
    <col min="6" max="6" width="9.625" customWidth="1"/>
  </cols>
  <sheetData>
    <row r="1" spans="1:6">
      <c r="A1" s="2" t="s">
        <v>258</v>
      </c>
      <c r="B1" s="2" t="s">
        <v>259</v>
      </c>
      <c r="C1" s="2" t="s">
        <v>260</v>
      </c>
      <c r="D1" s="2" t="s">
        <v>13</v>
      </c>
      <c r="F1" s="2" t="s">
        <v>261</v>
      </c>
    </row>
    <row r="2" spans="1:6">
      <c r="A2" s="1">
        <v>2015</v>
      </c>
      <c r="B2" s="1" t="s">
        <v>262</v>
      </c>
      <c r="C2" s="1">
        <v>1</v>
      </c>
      <c r="D2" s="3" t="s">
        <v>263</v>
      </c>
      <c r="F2" s="1" t="b">
        <v>1</v>
      </c>
    </row>
    <row r="3" spans="1:6">
      <c r="A3" s="1">
        <v>2016</v>
      </c>
      <c r="B3" s="1" t="s">
        <v>14</v>
      </c>
      <c r="C3" s="1">
        <v>2</v>
      </c>
      <c r="D3" s="3" t="s">
        <v>15</v>
      </c>
    </row>
    <row r="4" spans="1:6">
      <c r="A4" s="1">
        <v>2017</v>
      </c>
      <c r="B4" s="1" t="s">
        <v>264</v>
      </c>
      <c r="C4" s="1">
        <v>3</v>
      </c>
      <c r="D4" s="3" t="s">
        <v>265</v>
      </c>
    </row>
    <row r="5" spans="1:6">
      <c r="A5" s="1">
        <v>2018</v>
      </c>
      <c r="B5" s="1" t="s">
        <v>29</v>
      </c>
      <c r="C5" s="1">
        <v>4</v>
      </c>
      <c r="D5" s="3" t="s">
        <v>266</v>
      </c>
    </row>
    <row r="6" spans="1:6">
      <c r="A6" s="1">
        <v>2019</v>
      </c>
      <c r="B6" s="1" t="s">
        <v>216</v>
      </c>
      <c r="C6" s="1">
        <v>5</v>
      </c>
      <c r="D6" s="3" t="s">
        <v>267</v>
      </c>
    </row>
    <row r="7" spans="1:6">
      <c r="A7" s="1">
        <v>2020</v>
      </c>
      <c r="B7" s="1" t="s">
        <v>204</v>
      </c>
      <c r="C7" s="1">
        <v>6</v>
      </c>
      <c r="D7" s="3" t="s">
        <v>268</v>
      </c>
    </row>
    <row r="8" spans="1:6">
      <c r="A8" s="1">
        <v>2021</v>
      </c>
      <c r="B8" s="1" t="s">
        <v>214</v>
      </c>
      <c r="C8" s="1">
        <v>7</v>
      </c>
      <c r="D8" s="3" t="s">
        <v>269</v>
      </c>
    </row>
    <row r="9" spans="1:6">
      <c r="A9" s="1">
        <v>2022</v>
      </c>
      <c r="B9" s="1" t="s">
        <v>189</v>
      </c>
      <c r="C9" s="1">
        <v>8</v>
      </c>
      <c r="D9" s="3" t="s">
        <v>270</v>
      </c>
    </row>
    <row r="10" spans="1:6">
      <c r="A10" s="1">
        <v>2023</v>
      </c>
      <c r="B10" s="1" t="s">
        <v>177</v>
      </c>
      <c r="C10" s="1">
        <v>9</v>
      </c>
      <c r="D10" s="3" t="s">
        <v>271</v>
      </c>
    </row>
    <row r="11" spans="1:6">
      <c r="A11" s="1">
        <v>2024</v>
      </c>
      <c r="B11" s="1" t="s">
        <v>272</v>
      </c>
      <c r="C11" s="1">
        <v>10</v>
      </c>
      <c r="D11" s="3" t="s">
        <v>273</v>
      </c>
    </row>
    <row r="12" spans="1:6">
      <c r="A12" s="1">
        <v>2025</v>
      </c>
      <c r="B12" s="1" t="s">
        <v>274</v>
      </c>
      <c r="C12" s="1">
        <v>11</v>
      </c>
      <c r="D12" s="3" t="s">
        <v>275</v>
      </c>
    </row>
    <row r="13" spans="1:6">
      <c r="A13" s="1">
        <v>2026</v>
      </c>
      <c r="B13" s="1" t="s">
        <v>276</v>
      </c>
      <c r="C13" s="1">
        <v>12</v>
      </c>
      <c r="D13" s="3" t="s">
        <v>277</v>
      </c>
    </row>
    <row r="14" spans="1:6">
      <c r="A14" s="1">
        <v>2027</v>
      </c>
      <c r="C14" s="1">
        <v>13</v>
      </c>
      <c r="D14" s="3" t="s">
        <v>278</v>
      </c>
    </row>
    <row r="15" spans="1:6">
      <c r="A15" s="1">
        <v>2028</v>
      </c>
      <c r="C15" s="1">
        <v>14</v>
      </c>
      <c r="D15" s="3" t="s">
        <v>279</v>
      </c>
    </row>
    <row r="16" spans="1:6">
      <c r="C16" s="1">
        <v>15</v>
      </c>
      <c r="D16" s="3" t="s">
        <v>178</v>
      </c>
    </row>
    <row r="17" spans="3:4">
      <c r="C17" s="1">
        <v>16</v>
      </c>
      <c r="D17" s="3"/>
    </row>
    <row r="18" spans="3:4">
      <c r="C18" s="1">
        <v>17</v>
      </c>
      <c r="D18" s="3"/>
    </row>
    <row r="19" spans="3:4">
      <c r="C19" s="1">
        <v>18</v>
      </c>
      <c r="D19" s="3"/>
    </row>
    <row r="20" spans="3:4">
      <c r="C20" s="1">
        <v>19</v>
      </c>
    </row>
    <row r="21" spans="3:4">
      <c r="C21" s="1">
        <v>20</v>
      </c>
    </row>
    <row r="22" spans="3:4">
      <c r="C22" s="1">
        <v>21</v>
      </c>
    </row>
    <row r="23" spans="3:4">
      <c r="C23" s="1">
        <v>22</v>
      </c>
    </row>
    <row r="24" spans="3:4">
      <c r="C24" s="1">
        <v>23</v>
      </c>
    </row>
    <row r="25" spans="3:4">
      <c r="C25" s="1">
        <v>24</v>
      </c>
    </row>
    <row r="26" spans="3:4">
      <c r="C26" s="1">
        <v>25</v>
      </c>
    </row>
    <row r="27" spans="3:4">
      <c r="C27" s="1">
        <v>26</v>
      </c>
    </row>
    <row r="28" spans="3:4">
      <c r="C28" s="1">
        <v>27</v>
      </c>
    </row>
    <row r="29" spans="3:4">
      <c r="C29" s="1">
        <v>28</v>
      </c>
    </row>
    <row r="30" spans="3:4">
      <c r="C30" s="1">
        <v>29</v>
      </c>
    </row>
    <row r="31" spans="3:4">
      <c r="C31" s="1">
        <v>30</v>
      </c>
    </row>
    <row r="32" spans="3:4">
      <c r="C32" s="1">
        <v>31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14"/>
  <sheetViews>
    <sheetView view="pageLayout" topLeftCell="B221" zoomScaleNormal="100" workbookViewId="0">
      <selection activeCell="D139" sqref="D139"/>
    </sheetView>
  </sheetViews>
  <sheetFormatPr defaultColWidth="8.875" defaultRowHeight="15" customHeight="1"/>
  <cols>
    <col min="1" max="1" width="20.625" customWidth="1"/>
    <col min="2" max="2" width="22.5" customWidth="1"/>
    <col min="3" max="3" width="19.125" customWidth="1"/>
    <col min="4" max="4" width="13.625" customWidth="1"/>
    <col min="5" max="5" width="20.625" customWidth="1"/>
    <col min="6" max="6" width="22.5" customWidth="1"/>
    <col min="7" max="7" width="19.125" customWidth="1"/>
    <col min="8" max="8" width="13.625" customWidth="1"/>
  </cols>
  <sheetData>
    <row r="1" spans="1:8" ht="15" customHeight="1">
      <c r="A1" s="264"/>
      <c r="B1" s="265"/>
      <c r="C1" s="265"/>
      <c r="D1" s="266"/>
      <c r="E1" s="264"/>
      <c r="F1" s="265"/>
      <c r="G1" s="265"/>
      <c r="H1" s="266"/>
    </row>
    <row r="2" spans="1:8" ht="15" customHeight="1">
      <c r="A2" s="267"/>
      <c r="D2" s="268"/>
      <c r="E2" s="267"/>
      <c r="H2" s="268"/>
    </row>
    <row r="3" spans="1:8" ht="15" customHeight="1">
      <c r="A3" s="267"/>
      <c r="D3" s="268"/>
      <c r="E3" s="267"/>
      <c r="H3" s="268"/>
    </row>
    <row r="4" spans="1:8" ht="15" customHeight="1">
      <c r="A4" s="267"/>
      <c r="D4" s="268"/>
      <c r="E4" s="267"/>
      <c r="H4" s="268"/>
    </row>
    <row r="5" spans="1:8" ht="15" customHeight="1">
      <c r="A5" s="267"/>
      <c r="D5" s="268"/>
      <c r="E5" s="267"/>
      <c r="H5" s="268"/>
    </row>
    <row r="6" spans="1:8" ht="15" customHeight="1">
      <c r="A6" s="269" t="s">
        <v>36</v>
      </c>
      <c r="B6" s="280" t="s">
        <v>299</v>
      </c>
      <c r="C6" s="261"/>
      <c r="D6" s="270"/>
      <c r="E6" s="269" t="s">
        <v>36</v>
      </c>
      <c r="F6" s="280" t="s">
        <v>419</v>
      </c>
      <c r="G6" s="261"/>
      <c r="H6" s="270"/>
    </row>
    <row r="7" spans="1:8" ht="15" customHeight="1">
      <c r="A7" s="269" t="s">
        <v>283</v>
      </c>
      <c r="B7" s="280" t="s">
        <v>446</v>
      </c>
      <c r="C7" s="261"/>
      <c r="D7" s="270"/>
      <c r="E7" s="269" t="s">
        <v>283</v>
      </c>
      <c r="F7" s="280" t="str">
        <f>B7</f>
        <v>: 30 JUNE 2026</v>
      </c>
      <c r="G7" s="261"/>
      <c r="H7" s="270"/>
    </row>
    <row r="8" spans="1:8" ht="15" customHeight="1">
      <c r="A8" s="269" t="s">
        <v>284</v>
      </c>
      <c r="B8" s="281" t="s">
        <v>447</v>
      </c>
      <c r="C8" s="261"/>
      <c r="D8" s="270"/>
      <c r="E8" s="269" t="s">
        <v>284</v>
      </c>
      <c r="F8" s="281" t="str">
        <f>B8</f>
        <v>: 06/11/2026 - 06/25/2026</v>
      </c>
      <c r="G8" s="261"/>
      <c r="H8" s="270"/>
    </row>
    <row r="9" spans="1:8" ht="15" customHeight="1">
      <c r="A9" s="269" t="s">
        <v>285</v>
      </c>
      <c r="B9" s="280" t="s">
        <v>304</v>
      </c>
      <c r="C9" s="261"/>
      <c r="D9" s="270"/>
      <c r="E9" s="269" t="s">
        <v>285</v>
      </c>
      <c r="F9" s="280" t="s">
        <v>405</v>
      </c>
      <c r="G9" s="261"/>
      <c r="H9" s="270"/>
    </row>
    <row r="10" spans="1:8" ht="15" customHeight="1">
      <c r="A10" s="269" t="s">
        <v>286</v>
      </c>
      <c r="B10" s="280" t="s">
        <v>394</v>
      </c>
      <c r="C10" s="261"/>
      <c r="D10" s="270"/>
      <c r="E10" s="269" t="s">
        <v>286</v>
      </c>
      <c r="F10" s="280" t="s">
        <v>420</v>
      </c>
      <c r="G10" s="261"/>
      <c r="H10" s="270"/>
    </row>
    <row r="11" spans="1:8" ht="15" customHeight="1">
      <c r="A11" s="569" t="s">
        <v>287</v>
      </c>
      <c r="B11" s="570"/>
      <c r="C11" s="574" t="s">
        <v>288</v>
      </c>
      <c r="D11" s="575"/>
      <c r="E11" s="569" t="s">
        <v>287</v>
      </c>
      <c r="F11" s="570"/>
      <c r="G11" s="574" t="s">
        <v>288</v>
      </c>
      <c r="H11" s="575"/>
    </row>
    <row r="12" spans="1:8" ht="15" customHeight="1">
      <c r="A12" s="271" t="s">
        <v>289</v>
      </c>
      <c r="B12" s="307">
        <f>'SEPT 30'!D12</f>
        <v>0</v>
      </c>
      <c r="C12" s="272" t="s">
        <v>149</v>
      </c>
      <c r="D12" s="293">
        <v>0</v>
      </c>
      <c r="E12" s="271" t="s">
        <v>289</v>
      </c>
      <c r="F12" s="307">
        <v>12020</v>
      </c>
      <c r="G12" s="272" t="s">
        <v>149</v>
      </c>
      <c r="H12" s="293">
        <v>0</v>
      </c>
    </row>
    <row r="13" spans="1:8" ht="15" customHeight="1">
      <c r="A13" s="273" t="s">
        <v>291</v>
      </c>
      <c r="B13" s="289">
        <v>4250</v>
      </c>
      <c r="C13" s="272" t="s">
        <v>315</v>
      </c>
      <c r="D13" s="293">
        <v>0</v>
      </c>
      <c r="E13" s="273" t="s">
        <v>291</v>
      </c>
      <c r="F13" s="289">
        <v>3500</v>
      </c>
      <c r="G13" s="272" t="s">
        <v>315</v>
      </c>
      <c r="H13" s="293">
        <v>0</v>
      </c>
    </row>
    <row r="14" spans="1:8" ht="15" customHeight="1">
      <c r="A14" s="273" t="s">
        <v>297</v>
      </c>
      <c r="B14" s="289">
        <v>0</v>
      </c>
      <c r="C14" s="272" t="s">
        <v>292</v>
      </c>
      <c r="D14" s="293">
        <v>0</v>
      </c>
      <c r="E14" s="273" t="s">
        <v>297</v>
      </c>
      <c r="F14" s="289">
        <v>0</v>
      </c>
      <c r="G14" s="272" t="s">
        <v>314</v>
      </c>
      <c r="H14" s="293">
        <v>1500</v>
      </c>
    </row>
    <row r="15" spans="1:8" ht="15" customHeight="1">
      <c r="A15" s="273" t="s">
        <v>187</v>
      </c>
      <c r="B15" s="289">
        <v>0</v>
      </c>
      <c r="C15" s="272" t="s">
        <v>293</v>
      </c>
      <c r="D15" s="293">
        <v>1500</v>
      </c>
      <c r="E15" s="273" t="s">
        <v>187</v>
      </c>
      <c r="F15" s="289">
        <v>0</v>
      </c>
      <c r="G15" s="272" t="s">
        <v>293</v>
      </c>
      <c r="H15" s="293">
        <v>0</v>
      </c>
    </row>
    <row r="16" spans="1:8" ht="15" customHeight="1">
      <c r="A16" s="273" t="s">
        <v>298</v>
      </c>
      <c r="B16" s="289">
        <v>0</v>
      </c>
      <c r="C16" s="272" t="s">
        <v>146</v>
      </c>
      <c r="D16" s="293">
        <v>1375</v>
      </c>
      <c r="E16" s="273" t="s">
        <v>298</v>
      </c>
      <c r="F16" s="289">
        <v>0</v>
      </c>
      <c r="G16" s="272" t="s">
        <v>146</v>
      </c>
      <c r="H16" s="293">
        <v>1200</v>
      </c>
    </row>
    <row r="17" spans="1:8" ht="15" customHeight="1">
      <c r="A17" s="282"/>
      <c r="B17" s="290"/>
      <c r="C17" s="272" t="s">
        <v>314</v>
      </c>
      <c r="D17" s="293">
        <v>2000</v>
      </c>
      <c r="E17" s="282"/>
      <c r="F17" s="290"/>
      <c r="G17" s="272" t="s">
        <v>328</v>
      </c>
      <c r="H17" s="293">
        <v>0</v>
      </c>
    </row>
    <row r="18" spans="1:8" ht="15" customHeight="1">
      <c r="A18" s="282"/>
      <c r="B18" s="290"/>
      <c r="C18" s="272" t="s">
        <v>328</v>
      </c>
      <c r="D18" s="293">
        <v>0</v>
      </c>
      <c r="E18" s="282"/>
      <c r="F18" s="290"/>
      <c r="G18" s="272" t="s">
        <v>294</v>
      </c>
      <c r="H18" s="293">
        <v>0</v>
      </c>
    </row>
    <row r="19" spans="1:8" ht="15" customHeight="1">
      <c r="A19" s="282"/>
      <c r="B19" s="290"/>
      <c r="C19" s="272" t="s">
        <v>50</v>
      </c>
      <c r="D19" s="293">
        <v>0</v>
      </c>
      <c r="E19" s="282"/>
      <c r="F19" s="290"/>
      <c r="G19" s="272" t="s">
        <v>50</v>
      </c>
      <c r="H19" s="293">
        <v>0</v>
      </c>
    </row>
    <row r="20" spans="1:8" ht="15" customHeight="1">
      <c r="A20" s="284"/>
      <c r="B20" s="291"/>
      <c r="C20" s="272" t="s">
        <v>290</v>
      </c>
      <c r="D20" s="293">
        <f>'SEPT 30'!L12</f>
        <v>0</v>
      </c>
      <c r="E20" s="284"/>
      <c r="F20" s="291"/>
      <c r="G20" s="272" t="s">
        <v>290</v>
      </c>
      <c r="H20" s="293">
        <v>0</v>
      </c>
    </row>
    <row r="21" spans="1:8" ht="15" customHeight="1">
      <c r="A21" s="286"/>
      <c r="B21" s="292"/>
      <c r="C21" s="276" t="s">
        <v>365</v>
      </c>
      <c r="D21" s="294">
        <v>400</v>
      </c>
      <c r="E21" s="286"/>
      <c r="F21" s="292"/>
      <c r="G21" s="276" t="s">
        <v>365</v>
      </c>
      <c r="H21" s="294">
        <v>100</v>
      </c>
    </row>
    <row r="22" spans="1:8" ht="15" customHeight="1">
      <c r="A22" s="275" t="s">
        <v>295</v>
      </c>
      <c r="B22" s="278">
        <f>SUM(B12:B21)</f>
        <v>4250</v>
      </c>
      <c r="C22" s="263" t="s">
        <v>296</v>
      </c>
      <c r="D22" s="279">
        <f>SUM(D12:D21)</f>
        <v>5275</v>
      </c>
      <c r="E22" s="275" t="s">
        <v>295</v>
      </c>
      <c r="F22" s="278">
        <f>SUM(F12:F21)</f>
        <v>15520</v>
      </c>
      <c r="G22" s="263" t="s">
        <v>296</v>
      </c>
      <c r="H22" s="279">
        <f>SUM(H12:H21)</f>
        <v>2800</v>
      </c>
    </row>
    <row r="23" spans="1:8" ht="15" customHeight="1">
      <c r="A23" s="571" t="s">
        <v>48</v>
      </c>
      <c r="B23" s="571"/>
      <c r="C23" s="572">
        <f>B22-D22</f>
        <v>-1025</v>
      </c>
      <c r="D23" s="573"/>
      <c r="E23" s="571" t="s">
        <v>48</v>
      </c>
      <c r="F23" s="571"/>
      <c r="G23" s="572">
        <f>F22-H22</f>
        <v>12720</v>
      </c>
      <c r="H23" s="573"/>
    </row>
    <row r="25" spans="1:8" ht="15" customHeight="1">
      <c r="A25" s="364" t="s">
        <v>246</v>
      </c>
      <c r="B25" s="364"/>
      <c r="C25" s="364" t="s">
        <v>247</v>
      </c>
      <c r="D25" s="364"/>
      <c r="E25" s="364" t="s">
        <v>246</v>
      </c>
      <c r="F25" s="364"/>
      <c r="G25" s="364" t="s">
        <v>247</v>
      </c>
      <c r="H25" s="364"/>
    </row>
    <row r="26" spans="1:8" ht="15" customHeight="1">
      <c r="A26" s="364"/>
      <c r="B26" s="364"/>
      <c r="C26" s="364"/>
      <c r="D26" s="364"/>
      <c r="E26" s="364"/>
      <c r="F26" s="364"/>
      <c r="G26" s="364"/>
      <c r="H26" s="364"/>
    </row>
    <row r="27" spans="1:8" ht="15" customHeight="1">
      <c r="A27" s="414" t="s">
        <v>249</v>
      </c>
      <c r="B27" s="364"/>
      <c r="C27" s="414" t="s">
        <v>142</v>
      </c>
      <c r="D27" s="364"/>
      <c r="E27" s="414" t="s">
        <v>249</v>
      </c>
      <c r="F27" s="364"/>
      <c r="G27" s="414" t="s">
        <v>142</v>
      </c>
      <c r="H27" s="364"/>
    </row>
    <row r="28" spans="1:8" ht="15" customHeight="1">
      <c r="A28" s="364" t="s">
        <v>208</v>
      </c>
      <c r="B28" s="364"/>
      <c r="C28" s="364" t="s">
        <v>393</v>
      </c>
      <c r="D28" s="364"/>
      <c r="E28" s="364" t="s">
        <v>208</v>
      </c>
      <c r="F28" s="364"/>
      <c r="G28" s="364" t="s">
        <v>393</v>
      </c>
      <c r="H28" s="364"/>
    </row>
    <row r="33" spans="1:8" ht="15" customHeight="1">
      <c r="A33" s="264"/>
      <c r="B33" s="265"/>
      <c r="C33" s="265"/>
      <c r="D33" s="266"/>
      <c r="E33" s="264"/>
      <c r="F33" s="265"/>
      <c r="G33" s="265"/>
      <c r="H33" s="266"/>
    </row>
    <row r="34" spans="1:8" ht="15" customHeight="1">
      <c r="A34" s="267"/>
      <c r="D34" s="268"/>
      <c r="E34" s="267"/>
      <c r="H34" s="268"/>
    </row>
    <row r="35" spans="1:8" ht="15" customHeight="1">
      <c r="A35" s="267"/>
      <c r="D35" s="268"/>
      <c r="E35" s="267"/>
      <c r="H35" s="268"/>
    </row>
    <row r="36" spans="1:8" ht="15" customHeight="1">
      <c r="A36" s="267"/>
      <c r="D36" s="268"/>
      <c r="E36" s="267"/>
      <c r="H36" s="268"/>
    </row>
    <row r="37" spans="1:8" ht="15" customHeight="1">
      <c r="A37" s="267"/>
      <c r="D37" s="268"/>
      <c r="E37" s="267"/>
      <c r="H37" s="268"/>
    </row>
    <row r="38" spans="1:8" ht="15" customHeight="1">
      <c r="A38" s="269" t="s">
        <v>36</v>
      </c>
      <c r="B38" s="280" t="s">
        <v>421</v>
      </c>
      <c r="C38" s="261"/>
      <c r="D38" s="270"/>
      <c r="E38" s="269" t="s">
        <v>36</v>
      </c>
      <c r="F38" s="280" t="s">
        <v>422</v>
      </c>
      <c r="G38" s="261"/>
      <c r="H38" s="270"/>
    </row>
    <row r="39" spans="1:8" ht="15" customHeight="1">
      <c r="A39" s="269" t="s">
        <v>283</v>
      </c>
      <c r="B39" s="280" t="str">
        <f>B7</f>
        <v>: 30 JUNE 2026</v>
      </c>
      <c r="C39" s="261"/>
      <c r="D39" s="270"/>
      <c r="E39" s="269" t="s">
        <v>283</v>
      </c>
      <c r="F39" s="280" t="str">
        <f>B7</f>
        <v>: 30 JUNE 2026</v>
      </c>
      <c r="G39" s="261"/>
      <c r="H39" s="270"/>
    </row>
    <row r="40" spans="1:8" ht="15" customHeight="1">
      <c r="A40" s="269" t="s">
        <v>284</v>
      </c>
      <c r="B40" s="281" t="str">
        <f>B8</f>
        <v>: 06/11/2026 - 06/25/2026</v>
      </c>
      <c r="C40" s="261"/>
      <c r="D40" s="270"/>
      <c r="E40" s="269" t="s">
        <v>284</v>
      </c>
      <c r="F40" s="281" t="str">
        <f>B8</f>
        <v>: 06/11/2026 - 06/25/2026</v>
      </c>
      <c r="G40" s="261"/>
      <c r="H40" s="270"/>
    </row>
    <row r="41" spans="1:8" ht="15" customHeight="1">
      <c r="A41" s="269" t="s">
        <v>285</v>
      </c>
      <c r="B41" s="280" t="s">
        <v>304</v>
      </c>
      <c r="C41" s="261"/>
      <c r="D41" s="270"/>
      <c r="E41" s="269" t="s">
        <v>285</v>
      </c>
      <c r="F41" s="280" t="s">
        <v>405</v>
      </c>
      <c r="G41" s="261"/>
      <c r="H41" s="270"/>
    </row>
    <row r="42" spans="1:8" ht="15" customHeight="1">
      <c r="A42" s="269" t="s">
        <v>286</v>
      </c>
      <c r="B42" s="280" t="s">
        <v>300</v>
      </c>
      <c r="C42" s="261"/>
      <c r="D42" s="270"/>
      <c r="E42" s="269" t="s">
        <v>286</v>
      </c>
      <c r="F42" s="280" t="s">
        <v>423</v>
      </c>
      <c r="G42" s="261"/>
      <c r="H42" s="270"/>
    </row>
    <row r="43" spans="1:8" ht="15" customHeight="1">
      <c r="A43" s="569" t="s">
        <v>287</v>
      </c>
      <c r="B43" s="570"/>
      <c r="C43" s="574" t="s">
        <v>288</v>
      </c>
      <c r="D43" s="575"/>
      <c r="E43" s="569" t="s">
        <v>287</v>
      </c>
      <c r="F43" s="570"/>
      <c r="G43" s="574" t="s">
        <v>288</v>
      </c>
      <c r="H43" s="575"/>
    </row>
    <row r="44" spans="1:8" ht="15" customHeight="1">
      <c r="A44" s="271" t="s">
        <v>289</v>
      </c>
      <c r="B44" s="307">
        <f>'SEPT 30'!D30</f>
        <v>10270</v>
      </c>
      <c r="C44" s="272" t="s">
        <v>149</v>
      </c>
      <c r="D44" s="293">
        <v>0</v>
      </c>
      <c r="E44" s="271" t="s">
        <v>289</v>
      </c>
      <c r="F44" s="307">
        <f>'SEPT 30'!D41</f>
        <v>10520</v>
      </c>
      <c r="G44" s="272" t="s">
        <v>149</v>
      </c>
      <c r="H44" s="293">
        <v>1500</v>
      </c>
    </row>
    <row r="45" spans="1:8" ht="15" customHeight="1">
      <c r="A45" s="273" t="s">
        <v>291</v>
      </c>
      <c r="B45" s="289">
        <v>2500</v>
      </c>
      <c r="C45" s="272" t="s">
        <v>293</v>
      </c>
      <c r="D45" s="293">
        <v>3000</v>
      </c>
      <c r="E45" s="273" t="s">
        <v>291</v>
      </c>
      <c r="F45" s="289">
        <v>1000</v>
      </c>
      <c r="G45" s="272" t="s">
        <v>293</v>
      </c>
      <c r="H45" s="293">
        <v>1000</v>
      </c>
    </row>
    <row r="46" spans="1:8" ht="15" customHeight="1">
      <c r="A46" s="273" t="s">
        <v>297</v>
      </c>
      <c r="B46" s="289">
        <v>0</v>
      </c>
      <c r="C46" s="272" t="s">
        <v>146</v>
      </c>
      <c r="D46" s="293">
        <v>1025</v>
      </c>
      <c r="E46" s="273" t="s">
        <v>297</v>
      </c>
      <c r="F46" s="289">
        <v>0</v>
      </c>
      <c r="G46" s="272" t="s">
        <v>146</v>
      </c>
      <c r="H46" s="293">
        <v>1050</v>
      </c>
    </row>
    <row r="47" spans="1:8" ht="15" customHeight="1">
      <c r="A47" s="273" t="s">
        <v>187</v>
      </c>
      <c r="B47" s="289">
        <f>'SEPT 30'!H30</f>
        <v>0</v>
      </c>
      <c r="C47" s="272" t="s">
        <v>314</v>
      </c>
      <c r="D47" s="293">
        <v>900</v>
      </c>
      <c r="E47" s="273" t="s">
        <v>187</v>
      </c>
      <c r="F47" s="289">
        <f>'SEPT 30'!H41</f>
        <v>0</v>
      </c>
      <c r="G47" s="272" t="s">
        <v>314</v>
      </c>
      <c r="H47" s="293">
        <v>1000</v>
      </c>
    </row>
    <row r="48" spans="1:8" ht="15" customHeight="1">
      <c r="A48" s="273" t="s">
        <v>298</v>
      </c>
      <c r="B48" s="289">
        <v>0</v>
      </c>
      <c r="C48" s="272" t="s">
        <v>294</v>
      </c>
      <c r="D48" s="293">
        <v>0</v>
      </c>
      <c r="E48" s="273" t="s">
        <v>298</v>
      </c>
      <c r="F48" s="289">
        <v>0</v>
      </c>
      <c r="G48" s="272" t="s">
        <v>294</v>
      </c>
      <c r="H48" s="293">
        <v>0</v>
      </c>
    </row>
    <row r="49" spans="1:8" ht="15" customHeight="1">
      <c r="A49" s="282"/>
      <c r="B49" s="283"/>
      <c r="C49" s="272" t="s">
        <v>50</v>
      </c>
      <c r="D49" s="293">
        <v>0</v>
      </c>
      <c r="E49" s="273"/>
      <c r="F49" s="283"/>
      <c r="G49" s="272" t="s">
        <v>50</v>
      </c>
      <c r="H49" s="293">
        <v>0</v>
      </c>
    </row>
    <row r="50" spans="1:8" ht="15" customHeight="1">
      <c r="A50" s="282"/>
      <c r="B50" s="283"/>
      <c r="C50" s="272" t="s">
        <v>317</v>
      </c>
      <c r="D50" s="293"/>
      <c r="E50" s="273"/>
      <c r="F50" s="283"/>
      <c r="G50" s="272" t="s">
        <v>317</v>
      </c>
      <c r="H50" s="293">
        <v>500</v>
      </c>
    </row>
    <row r="51" spans="1:8" ht="15" customHeight="1">
      <c r="A51" s="316" t="s">
        <v>319</v>
      </c>
      <c r="B51" s="309">
        <f>'SEPT 30'!E30</f>
        <v>0</v>
      </c>
      <c r="C51" s="272" t="s">
        <v>315</v>
      </c>
      <c r="D51" s="293"/>
      <c r="E51" s="316" t="s">
        <v>319</v>
      </c>
      <c r="F51" s="309">
        <f>'SEPT 30'!E41</f>
        <v>2023.0769230769233</v>
      </c>
      <c r="G51" s="272" t="s">
        <v>315</v>
      </c>
      <c r="H51" s="293">
        <v>0</v>
      </c>
    </row>
    <row r="52" spans="1:8" ht="15" customHeight="1">
      <c r="A52" s="284"/>
      <c r="B52" s="285"/>
      <c r="C52" s="272" t="s">
        <v>365</v>
      </c>
      <c r="D52" s="293">
        <v>100</v>
      </c>
      <c r="E52" s="284"/>
      <c r="F52" s="285"/>
      <c r="G52" s="272" t="s">
        <v>365</v>
      </c>
      <c r="H52" s="293">
        <v>100</v>
      </c>
    </row>
    <row r="53" spans="1:8" ht="15" customHeight="1">
      <c r="A53" s="286"/>
      <c r="B53" s="287"/>
      <c r="C53" s="262"/>
      <c r="D53" s="274"/>
      <c r="E53" s="286"/>
      <c r="F53" s="287"/>
      <c r="G53" s="272"/>
      <c r="H53" s="303">
        <v>0</v>
      </c>
    </row>
    <row r="54" spans="1:8" ht="15" customHeight="1">
      <c r="A54" s="275" t="s">
        <v>295</v>
      </c>
      <c r="B54" s="278">
        <f>SUM(B44:B48)-B51</f>
        <v>12770</v>
      </c>
      <c r="C54" s="263" t="s">
        <v>296</v>
      </c>
      <c r="D54" s="279">
        <f>SUM(D44:D53)</f>
        <v>5025</v>
      </c>
      <c r="E54" s="275" t="s">
        <v>295</v>
      </c>
      <c r="F54" s="278">
        <f>SUM(F44:F48)-F51</f>
        <v>9496.9230769230762</v>
      </c>
      <c r="G54" s="325" t="s">
        <v>296</v>
      </c>
      <c r="H54" s="279">
        <f>SUM(H44:H53)</f>
        <v>5150</v>
      </c>
    </row>
    <row r="55" spans="1:8" ht="15" customHeight="1">
      <c r="A55" s="571" t="s">
        <v>48</v>
      </c>
      <c r="B55" s="571"/>
      <c r="C55" s="572">
        <f>B54-D54</f>
        <v>7745</v>
      </c>
      <c r="D55" s="573"/>
      <c r="E55" s="571" t="s">
        <v>48</v>
      </c>
      <c r="F55" s="571"/>
      <c r="G55" s="572">
        <f>F54-H54</f>
        <v>4346.9230769230762</v>
      </c>
      <c r="H55" s="573"/>
    </row>
    <row r="56" spans="1:8" ht="15" customHeight="1">
      <c r="A56" s="304"/>
      <c r="B56" s="304"/>
      <c r="C56" s="305"/>
      <c r="D56" s="306"/>
      <c r="E56" s="304"/>
      <c r="F56" s="304"/>
      <c r="G56" s="305"/>
      <c r="H56" s="306"/>
    </row>
    <row r="57" spans="1:8" ht="15" customHeight="1">
      <c r="A57" s="364" t="s">
        <v>246</v>
      </c>
      <c r="B57" s="364"/>
      <c r="C57" s="364" t="s">
        <v>247</v>
      </c>
      <c r="D57" s="364"/>
      <c r="E57" s="364" t="s">
        <v>246</v>
      </c>
      <c r="F57" s="364"/>
      <c r="G57" s="364" t="s">
        <v>247</v>
      </c>
      <c r="H57" s="364"/>
    </row>
    <row r="58" spans="1:8" ht="15" customHeight="1">
      <c r="A58" s="364"/>
      <c r="B58" s="364"/>
      <c r="C58" s="364"/>
      <c r="D58" s="364"/>
      <c r="E58" s="364"/>
      <c r="F58" s="364"/>
      <c r="G58" s="364"/>
      <c r="H58" s="364"/>
    </row>
    <row r="59" spans="1:8" ht="15" customHeight="1">
      <c r="A59" s="414" t="s">
        <v>249</v>
      </c>
      <c r="B59" s="364"/>
      <c r="C59" s="414" t="s">
        <v>142</v>
      </c>
      <c r="D59" s="364"/>
      <c r="E59" s="414" t="s">
        <v>249</v>
      </c>
      <c r="F59" s="364"/>
      <c r="G59" s="414" t="s">
        <v>142</v>
      </c>
      <c r="H59" s="364"/>
    </row>
    <row r="60" spans="1:8" ht="15" customHeight="1">
      <c r="A60" s="364" t="s">
        <v>208</v>
      </c>
      <c r="B60" s="364"/>
      <c r="C60" s="364" t="s">
        <v>393</v>
      </c>
      <c r="D60" s="364"/>
      <c r="E60" s="364" t="s">
        <v>208</v>
      </c>
      <c r="F60" s="364"/>
      <c r="G60" s="364" t="s">
        <v>393</v>
      </c>
      <c r="H60" s="364"/>
    </row>
    <row r="61" spans="1:8" ht="15" customHeight="1">
      <c r="A61" s="304"/>
      <c r="B61" s="304"/>
      <c r="C61" s="305"/>
      <c r="D61" s="306"/>
      <c r="E61" s="304"/>
      <c r="F61" s="304"/>
      <c r="G61" s="305"/>
      <c r="H61" s="306"/>
    </row>
    <row r="62" spans="1:8" ht="15" customHeight="1">
      <c r="A62" s="304"/>
      <c r="B62" s="304"/>
      <c r="C62" s="305"/>
      <c r="D62" s="306"/>
      <c r="E62" s="304"/>
      <c r="F62" s="304"/>
      <c r="G62" s="305"/>
      <c r="H62" s="306"/>
    </row>
    <row r="63" spans="1:8" ht="15" customHeight="1">
      <c r="A63" s="264"/>
      <c r="B63" s="265"/>
      <c r="C63" s="265"/>
      <c r="D63" s="266"/>
      <c r="E63" s="264"/>
      <c r="F63" s="265"/>
      <c r="G63" s="265"/>
      <c r="H63" s="266"/>
    </row>
    <row r="64" spans="1:8" ht="15" customHeight="1">
      <c r="A64" s="267"/>
      <c r="D64" s="268"/>
      <c r="E64" s="267"/>
      <c r="H64" s="268"/>
    </row>
    <row r="65" spans="1:8" ht="15" customHeight="1">
      <c r="A65" s="267"/>
      <c r="D65" s="268"/>
      <c r="E65" s="267"/>
      <c r="H65" s="268"/>
    </row>
    <row r="66" spans="1:8" ht="15" customHeight="1">
      <c r="A66" s="267"/>
      <c r="D66" s="268"/>
      <c r="E66" s="267"/>
      <c r="H66" s="268"/>
    </row>
    <row r="67" spans="1:8" ht="15" customHeight="1">
      <c r="A67" s="267"/>
      <c r="D67" s="268"/>
      <c r="E67" s="267"/>
      <c r="H67" s="268"/>
    </row>
    <row r="68" spans="1:8" ht="15" customHeight="1">
      <c r="A68" s="269" t="s">
        <v>36</v>
      </c>
      <c r="B68" s="280" t="s">
        <v>424</v>
      </c>
      <c r="C68" s="261"/>
      <c r="D68" s="270"/>
      <c r="E68" s="269" t="s">
        <v>36</v>
      </c>
      <c r="F68" s="280" t="s">
        <v>425</v>
      </c>
      <c r="G68" s="261"/>
      <c r="H68" s="270"/>
    </row>
    <row r="69" spans="1:8" ht="15" customHeight="1">
      <c r="A69" s="269" t="s">
        <v>283</v>
      </c>
      <c r="B69" s="280" t="str">
        <f>B7</f>
        <v>: 30 JUNE 2026</v>
      </c>
      <c r="C69" s="261"/>
      <c r="D69" s="270"/>
      <c r="E69" s="269" t="s">
        <v>283</v>
      </c>
      <c r="F69" s="280" t="str">
        <f>B7</f>
        <v>: 30 JUNE 2026</v>
      </c>
      <c r="G69" s="261"/>
      <c r="H69" s="270"/>
    </row>
    <row r="70" spans="1:8" ht="15" customHeight="1">
      <c r="A70" s="269" t="s">
        <v>284</v>
      </c>
      <c r="B70" s="281" t="str">
        <f>B8</f>
        <v>: 06/11/2026 - 06/25/2026</v>
      </c>
      <c r="C70" s="261"/>
      <c r="D70" s="270"/>
      <c r="E70" s="269" t="s">
        <v>284</v>
      </c>
      <c r="F70" s="281" t="str">
        <f>B8</f>
        <v>: 06/11/2026 - 06/25/2026</v>
      </c>
      <c r="G70" s="261"/>
      <c r="H70" s="270"/>
    </row>
    <row r="71" spans="1:8" ht="15" customHeight="1">
      <c r="A71" s="269" t="s">
        <v>285</v>
      </c>
      <c r="B71" s="280" t="s">
        <v>304</v>
      </c>
      <c r="C71" s="261"/>
      <c r="D71" s="270"/>
      <c r="E71" s="269" t="s">
        <v>285</v>
      </c>
      <c r="F71" s="281" t="s">
        <v>418</v>
      </c>
      <c r="G71" s="261"/>
      <c r="H71" s="270"/>
    </row>
    <row r="72" spans="1:8" ht="15" customHeight="1">
      <c r="A72" s="269" t="s">
        <v>286</v>
      </c>
      <c r="B72" s="280" t="s">
        <v>435</v>
      </c>
      <c r="C72" s="261"/>
      <c r="D72" s="270"/>
      <c r="E72" s="269" t="s">
        <v>286</v>
      </c>
      <c r="F72" s="280" t="s">
        <v>436</v>
      </c>
      <c r="G72" s="261"/>
      <c r="H72" s="270"/>
    </row>
    <row r="73" spans="1:8" ht="15" customHeight="1">
      <c r="A73" s="569" t="s">
        <v>287</v>
      </c>
      <c r="B73" s="570"/>
      <c r="C73" s="574" t="s">
        <v>288</v>
      </c>
      <c r="D73" s="575"/>
      <c r="E73" s="569" t="s">
        <v>287</v>
      </c>
      <c r="F73" s="570"/>
      <c r="G73" s="574" t="s">
        <v>288</v>
      </c>
      <c r="H73" s="575"/>
    </row>
    <row r="74" spans="1:8" ht="15" customHeight="1">
      <c r="A74" s="271" t="s">
        <v>289</v>
      </c>
      <c r="B74" s="307">
        <f>'SEPT 30'!D29</f>
        <v>9020</v>
      </c>
      <c r="C74" s="272" t="s">
        <v>149</v>
      </c>
      <c r="D74" s="293">
        <v>0</v>
      </c>
      <c r="E74" s="271" t="s">
        <v>289</v>
      </c>
      <c r="F74" s="307">
        <f>'SEPT 30'!D17</f>
        <v>9216.64</v>
      </c>
      <c r="G74" s="272" t="s">
        <v>149</v>
      </c>
      <c r="H74" s="293">
        <v>0</v>
      </c>
    </row>
    <row r="75" spans="1:8" ht="15" customHeight="1">
      <c r="A75" s="273" t="s">
        <v>291</v>
      </c>
      <c r="B75" s="289">
        <v>0</v>
      </c>
      <c r="C75" s="272" t="s">
        <v>293</v>
      </c>
      <c r="D75" s="293">
        <v>0</v>
      </c>
      <c r="E75" s="273" t="s">
        <v>291</v>
      </c>
      <c r="F75" s="289">
        <v>1500</v>
      </c>
      <c r="G75" s="272" t="s">
        <v>293</v>
      </c>
      <c r="H75" s="293">
        <v>0</v>
      </c>
    </row>
    <row r="76" spans="1:8" ht="15" customHeight="1">
      <c r="A76" s="273" t="s">
        <v>297</v>
      </c>
      <c r="B76" s="289">
        <f>'SEPT 30'!G29</f>
        <v>0</v>
      </c>
      <c r="C76" s="272" t="s">
        <v>146</v>
      </c>
      <c r="D76" s="293">
        <v>900</v>
      </c>
      <c r="E76" s="273" t="s">
        <v>297</v>
      </c>
      <c r="F76" s="289">
        <f>'SEPT 30'!G17</f>
        <v>0</v>
      </c>
      <c r="G76" s="272" t="s">
        <v>146</v>
      </c>
      <c r="H76" s="293">
        <v>925</v>
      </c>
    </row>
    <row r="77" spans="1:8" ht="15" customHeight="1">
      <c r="A77" s="273" t="s">
        <v>187</v>
      </c>
      <c r="B77" s="289">
        <f>'SEPT 30'!H29</f>
        <v>0</v>
      </c>
      <c r="C77" s="272" t="s">
        <v>314</v>
      </c>
      <c r="D77" s="293">
        <v>0</v>
      </c>
      <c r="E77" s="273" t="s">
        <v>187</v>
      </c>
      <c r="F77" s="289">
        <f>'SEPT 30'!H17</f>
        <v>0</v>
      </c>
      <c r="G77" s="272" t="s">
        <v>314</v>
      </c>
      <c r="H77" s="293">
        <v>0</v>
      </c>
    </row>
    <row r="78" spans="1:8" ht="15" customHeight="1">
      <c r="A78" s="273" t="s">
        <v>298</v>
      </c>
      <c r="B78" s="289">
        <v>0</v>
      </c>
      <c r="C78" s="272" t="s">
        <v>294</v>
      </c>
      <c r="D78" s="293">
        <v>0</v>
      </c>
      <c r="E78" s="273" t="s">
        <v>298</v>
      </c>
      <c r="F78" s="289">
        <f>'SEPT 30'!S17</f>
        <v>0</v>
      </c>
      <c r="G78" s="272" t="s">
        <v>294</v>
      </c>
      <c r="H78" s="293">
        <v>0</v>
      </c>
    </row>
    <row r="79" spans="1:8" ht="15" customHeight="1">
      <c r="A79" s="282"/>
      <c r="B79" s="283"/>
      <c r="C79" s="272" t="s">
        <v>50</v>
      </c>
      <c r="D79" s="293">
        <v>0</v>
      </c>
      <c r="E79" s="282"/>
      <c r="F79" s="283"/>
      <c r="G79" s="272" t="s">
        <v>50</v>
      </c>
      <c r="H79" s="293">
        <v>0</v>
      </c>
    </row>
    <row r="80" spans="1:8" ht="15" customHeight="1">
      <c r="A80" s="282"/>
      <c r="B80" s="283"/>
      <c r="C80" s="272" t="s">
        <v>317</v>
      </c>
      <c r="D80" s="293">
        <v>500</v>
      </c>
      <c r="E80" s="282"/>
      <c r="F80" s="283"/>
      <c r="G80" s="272" t="s">
        <v>317</v>
      </c>
      <c r="H80" s="293">
        <v>0</v>
      </c>
    </row>
    <row r="81" spans="1:8" ht="15" customHeight="1">
      <c r="A81" s="316" t="s">
        <v>319</v>
      </c>
      <c r="B81" s="309">
        <f>'SEPT 30'!E29</f>
        <v>346.92307692307691</v>
      </c>
      <c r="C81" s="272" t="s">
        <v>315</v>
      </c>
      <c r="D81" s="293">
        <v>0</v>
      </c>
      <c r="E81" s="316" t="s">
        <v>319</v>
      </c>
      <c r="F81" s="309">
        <f>'SEPT 30'!E17</f>
        <v>0</v>
      </c>
      <c r="G81" s="272" t="s">
        <v>315</v>
      </c>
      <c r="H81" s="293">
        <v>0</v>
      </c>
    </row>
    <row r="82" spans="1:8" ht="15" customHeight="1">
      <c r="A82" s="284"/>
      <c r="B82" s="285"/>
      <c r="C82" s="272" t="s">
        <v>365</v>
      </c>
      <c r="D82" s="293">
        <v>200</v>
      </c>
      <c r="E82" s="284"/>
      <c r="F82" s="285"/>
      <c r="G82" s="272" t="s">
        <v>365</v>
      </c>
      <c r="H82" s="293">
        <v>200</v>
      </c>
    </row>
    <row r="83" spans="1:8" ht="15" customHeight="1">
      <c r="A83" s="286"/>
      <c r="B83" s="288"/>
      <c r="C83" s="276"/>
      <c r="D83" s="277"/>
      <c r="E83" s="286"/>
      <c r="F83" s="288"/>
      <c r="G83" s="276"/>
      <c r="H83" s="277"/>
    </row>
    <row r="84" spans="1:8" ht="15" customHeight="1">
      <c r="A84" s="275" t="s">
        <v>295</v>
      </c>
      <c r="B84" s="278">
        <f>SUM(B74:B78)-B81</f>
        <v>8673.0769230769238</v>
      </c>
      <c r="C84" s="263" t="s">
        <v>296</v>
      </c>
      <c r="D84" s="279">
        <f>SUM(D74:D83)</f>
        <v>1600</v>
      </c>
      <c r="E84" s="275" t="s">
        <v>295</v>
      </c>
      <c r="F84" s="278">
        <f>SUM(F74:F78)-F81</f>
        <v>10716.64</v>
      </c>
      <c r="G84" s="263" t="s">
        <v>296</v>
      </c>
      <c r="H84" s="279">
        <f>SUM(H74:H83)</f>
        <v>1125</v>
      </c>
    </row>
    <row r="85" spans="1:8" ht="15" customHeight="1">
      <c r="A85" s="571" t="s">
        <v>48</v>
      </c>
      <c r="B85" s="571"/>
      <c r="C85" s="572">
        <f>B84-D84</f>
        <v>7073.0769230769238</v>
      </c>
      <c r="D85" s="573"/>
      <c r="E85" s="571" t="s">
        <v>48</v>
      </c>
      <c r="F85" s="571"/>
      <c r="G85" s="572">
        <f>F84-H84</f>
        <v>9591.64</v>
      </c>
      <c r="H85" s="573"/>
    </row>
    <row r="87" spans="1:8" ht="15" customHeight="1">
      <c r="A87" s="364" t="s">
        <v>246</v>
      </c>
      <c r="B87" s="364"/>
      <c r="C87" s="364" t="s">
        <v>247</v>
      </c>
      <c r="D87" s="364"/>
      <c r="E87" s="364" t="s">
        <v>246</v>
      </c>
      <c r="F87" s="364"/>
      <c r="G87" s="364" t="s">
        <v>247</v>
      </c>
      <c r="H87" s="364"/>
    </row>
    <row r="88" spans="1:8" ht="15" customHeight="1">
      <c r="A88" s="364"/>
      <c r="B88" s="364"/>
      <c r="C88" s="364"/>
      <c r="D88" s="364"/>
      <c r="E88" s="364"/>
      <c r="F88" s="364"/>
      <c r="G88" s="364"/>
      <c r="H88" s="364"/>
    </row>
    <row r="89" spans="1:8" ht="15" customHeight="1">
      <c r="A89" s="414" t="s">
        <v>249</v>
      </c>
      <c r="B89" s="364"/>
      <c r="C89" s="414" t="s">
        <v>142</v>
      </c>
      <c r="D89" s="364"/>
      <c r="E89" s="414" t="s">
        <v>249</v>
      </c>
      <c r="F89" s="364"/>
      <c r="G89" s="414" t="s">
        <v>142</v>
      </c>
      <c r="H89" s="364"/>
    </row>
    <row r="90" spans="1:8" ht="15" customHeight="1">
      <c r="A90" s="364" t="s">
        <v>208</v>
      </c>
      <c r="B90" s="364"/>
      <c r="C90" s="364" t="s">
        <v>393</v>
      </c>
      <c r="D90" s="364"/>
      <c r="E90" s="364" t="s">
        <v>208</v>
      </c>
      <c r="F90" s="364"/>
      <c r="G90" s="364" t="s">
        <v>393</v>
      </c>
      <c r="H90" s="364"/>
    </row>
    <row r="95" spans="1:8" ht="15" customHeight="1">
      <c r="A95" s="264"/>
      <c r="B95" s="265"/>
      <c r="C95" s="265"/>
      <c r="D95" s="266"/>
      <c r="E95" s="264"/>
      <c r="F95" s="265"/>
      <c r="G95" s="265"/>
      <c r="H95" s="266"/>
    </row>
    <row r="96" spans="1:8" ht="15" customHeight="1">
      <c r="A96" s="267"/>
      <c r="D96" s="268"/>
      <c r="E96" s="267"/>
      <c r="H96" s="268"/>
    </row>
    <row r="97" spans="1:8" ht="15" customHeight="1">
      <c r="A97" s="267"/>
      <c r="D97" s="268"/>
      <c r="E97" s="267"/>
      <c r="H97" s="268"/>
    </row>
    <row r="98" spans="1:8" ht="15" customHeight="1">
      <c r="A98" s="267"/>
      <c r="D98" s="268"/>
      <c r="E98" s="267"/>
      <c r="H98" s="268"/>
    </row>
    <row r="99" spans="1:8" ht="15" customHeight="1">
      <c r="A99" s="267"/>
      <c r="D99" s="268"/>
      <c r="E99" s="267"/>
      <c r="H99" s="268"/>
    </row>
    <row r="100" spans="1:8" ht="15" customHeight="1">
      <c r="A100" s="269" t="s">
        <v>36</v>
      </c>
      <c r="B100" s="280" t="s">
        <v>426</v>
      </c>
      <c r="C100" s="261"/>
      <c r="D100" s="270"/>
      <c r="E100" s="269" t="s">
        <v>36</v>
      </c>
      <c r="F100" s="281" t="s">
        <v>428</v>
      </c>
      <c r="G100" s="261"/>
      <c r="H100" s="270"/>
    </row>
    <row r="101" spans="1:8" ht="15" customHeight="1">
      <c r="A101" s="269" t="s">
        <v>283</v>
      </c>
      <c r="B101" s="280" t="str">
        <f>B7</f>
        <v>: 30 JUNE 2026</v>
      </c>
      <c r="C101" s="261"/>
      <c r="D101" s="270"/>
      <c r="E101" s="269" t="s">
        <v>283</v>
      </c>
      <c r="F101" s="280" t="str">
        <f>B7</f>
        <v>: 30 JUNE 2026</v>
      </c>
      <c r="G101" s="261"/>
      <c r="H101" s="270"/>
    </row>
    <row r="102" spans="1:8" ht="15" customHeight="1">
      <c r="A102" s="269" t="s">
        <v>284</v>
      </c>
      <c r="B102" s="281" t="str">
        <f>B8</f>
        <v>: 06/11/2026 - 06/25/2026</v>
      </c>
      <c r="C102" s="261"/>
      <c r="D102" s="270"/>
      <c r="E102" s="269" t="s">
        <v>284</v>
      </c>
      <c r="F102" s="281" t="str">
        <f>B8</f>
        <v>: 06/11/2026 - 06/25/2026</v>
      </c>
      <c r="G102" s="261"/>
      <c r="H102" s="270"/>
    </row>
    <row r="103" spans="1:8" ht="15" customHeight="1">
      <c r="A103" s="269" t="s">
        <v>285</v>
      </c>
      <c r="B103" s="280" t="s">
        <v>405</v>
      </c>
      <c r="C103" s="261"/>
      <c r="D103" s="270"/>
      <c r="E103" s="269" t="s">
        <v>285</v>
      </c>
      <c r="F103" s="281" t="s">
        <v>418</v>
      </c>
      <c r="G103" s="261"/>
      <c r="H103" s="270"/>
    </row>
    <row r="104" spans="1:8" ht="15" customHeight="1">
      <c r="A104" s="269" t="s">
        <v>286</v>
      </c>
      <c r="B104" s="281" t="s">
        <v>434</v>
      </c>
      <c r="C104" s="261"/>
      <c r="D104" s="270"/>
      <c r="E104" s="269" t="s">
        <v>286</v>
      </c>
      <c r="F104" s="280" t="s">
        <v>334</v>
      </c>
      <c r="G104" s="261"/>
      <c r="H104" s="270"/>
    </row>
    <row r="105" spans="1:8" ht="15" customHeight="1">
      <c r="A105" s="569" t="s">
        <v>287</v>
      </c>
      <c r="B105" s="570"/>
      <c r="C105" s="574" t="s">
        <v>288</v>
      </c>
      <c r="D105" s="575"/>
      <c r="E105" s="569" t="s">
        <v>287</v>
      </c>
      <c r="F105" s="570"/>
      <c r="G105" s="574" t="s">
        <v>288</v>
      </c>
      <c r="H105" s="575"/>
    </row>
    <row r="106" spans="1:8" ht="15" customHeight="1">
      <c r="A106" s="271" t="s">
        <v>289</v>
      </c>
      <c r="B106" s="307">
        <f>'SEPT 30'!D40</f>
        <v>9106.7307692307695</v>
      </c>
      <c r="C106" s="272" t="s">
        <v>149</v>
      </c>
      <c r="D106" s="293">
        <v>750</v>
      </c>
      <c r="E106" s="271" t="s">
        <v>289</v>
      </c>
      <c r="F106" s="307">
        <f>'SEPT 30'!D21</f>
        <v>6562.5</v>
      </c>
      <c r="G106" s="272" t="s">
        <v>149</v>
      </c>
      <c r="H106" s="293">
        <v>0</v>
      </c>
    </row>
    <row r="107" spans="1:8" ht="15" customHeight="1">
      <c r="A107" s="273" t="s">
        <v>291</v>
      </c>
      <c r="B107" s="289">
        <v>1500</v>
      </c>
      <c r="C107" s="272" t="s">
        <v>293</v>
      </c>
      <c r="D107" s="293">
        <v>2000</v>
      </c>
      <c r="E107" s="273" t="s">
        <v>291</v>
      </c>
      <c r="F107" s="289">
        <v>0</v>
      </c>
      <c r="G107" s="272" t="s">
        <v>293</v>
      </c>
      <c r="H107" s="293">
        <v>0</v>
      </c>
    </row>
    <row r="108" spans="1:8" ht="15" customHeight="1">
      <c r="A108" s="273" t="s">
        <v>297</v>
      </c>
      <c r="B108" s="289">
        <f>'SEPT 30'!G40</f>
        <v>0</v>
      </c>
      <c r="C108" s="272" t="s">
        <v>146</v>
      </c>
      <c r="D108" s="293">
        <v>900</v>
      </c>
      <c r="E108" s="273" t="s">
        <v>297</v>
      </c>
      <c r="F108" s="289">
        <f>'SEPT 30'!G21</f>
        <v>703.125</v>
      </c>
      <c r="G108" s="272" t="s">
        <v>146</v>
      </c>
      <c r="H108" s="293">
        <v>650</v>
      </c>
    </row>
    <row r="109" spans="1:8" ht="15" customHeight="1">
      <c r="A109" s="273" t="s">
        <v>187</v>
      </c>
      <c r="B109" s="289">
        <f>'SEPT 30'!H40</f>
        <v>0</v>
      </c>
      <c r="C109" s="272" t="s">
        <v>314</v>
      </c>
      <c r="D109" s="293">
        <v>1000</v>
      </c>
      <c r="E109" s="273" t="s">
        <v>187</v>
      </c>
      <c r="F109" s="289">
        <f>'SEPT 30'!H21</f>
        <v>0</v>
      </c>
      <c r="G109" s="272" t="s">
        <v>314</v>
      </c>
      <c r="H109" s="293">
        <v>0</v>
      </c>
    </row>
    <row r="110" spans="1:8" ht="15" customHeight="1">
      <c r="A110" s="273" t="s">
        <v>298</v>
      </c>
      <c r="B110" s="289">
        <v>0</v>
      </c>
      <c r="C110" s="272" t="s">
        <v>294</v>
      </c>
      <c r="D110" s="293">
        <v>0</v>
      </c>
      <c r="E110" s="273" t="s">
        <v>298</v>
      </c>
      <c r="F110" s="289">
        <v>0</v>
      </c>
      <c r="G110" s="272" t="s">
        <v>294</v>
      </c>
      <c r="H110" s="293">
        <v>0</v>
      </c>
    </row>
    <row r="111" spans="1:8" ht="15" customHeight="1">
      <c r="A111" s="282"/>
      <c r="B111" s="283"/>
      <c r="C111" s="272" t="s">
        <v>50</v>
      </c>
      <c r="D111" s="293">
        <v>0</v>
      </c>
      <c r="E111" s="282"/>
      <c r="F111" s="290"/>
      <c r="G111" s="272" t="s">
        <v>50</v>
      </c>
      <c r="H111" s="293">
        <v>0</v>
      </c>
    </row>
    <row r="112" spans="1:8" ht="15" customHeight="1">
      <c r="A112" s="282"/>
      <c r="B112" s="283"/>
      <c r="C112" s="272" t="s">
        <v>317</v>
      </c>
      <c r="D112" s="293">
        <v>600</v>
      </c>
      <c r="E112" s="282"/>
      <c r="F112" s="290"/>
      <c r="G112" s="272" t="s">
        <v>317</v>
      </c>
      <c r="H112" s="293">
        <v>0</v>
      </c>
    </row>
    <row r="113" spans="1:8" ht="15" customHeight="1">
      <c r="A113" s="316" t="s">
        <v>319</v>
      </c>
      <c r="B113" s="309">
        <f>'SEPT 30'!E40</f>
        <v>2892.4711538461543</v>
      </c>
      <c r="C113" s="272" t="s">
        <v>315</v>
      </c>
      <c r="D113" s="293">
        <v>0</v>
      </c>
      <c r="E113" s="316" t="s">
        <v>319</v>
      </c>
      <c r="F113" s="309">
        <f>'SEPT 30'!E21</f>
        <v>0</v>
      </c>
      <c r="G113" s="272" t="s">
        <v>315</v>
      </c>
      <c r="H113" s="293"/>
    </row>
    <row r="114" spans="1:8" ht="15" customHeight="1">
      <c r="A114" s="284"/>
      <c r="B114" s="285"/>
      <c r="C114" s="272" t="s">
        <v>365</v>
      </c>
      <c r="D114" s="293">
        <v>100</v>
      </c>
      <c r="E114" s="284"/>
      <c r="F114" s="291"/>
      <c r="G114" s="272" t="s">
        <v>365</v>
      </c>
      <c r="H114" s="293">
        <v>100</v>
      </c>
    </row>
    <row r="115" spans="1:8" ht="15" customHeight="1">
      <c r="A115" s="286"/>
      <c r="B115" s="287"/>
      <c r="C115" s="272"/>
      <c r="D115" s="303">
        <v>0</v>
      </c>
      <c r="E115" s="286"/>
      <c r="F115" s="287"/>
      <c r="G115" s="262"/>
      <c r="H115" s="303">
        <v>0</v>
      </c>
    </row>
    <row r="116" spans="1:8" ht="15" customHeight="1">
      <c r="A116" s="275" t="s">
        <v>295</v>
      </c>
      <c r="B116" s="278">
        <f>SUM(B106:B110)-B113</f>
        <v>7714.2596153846152</v>
      </c>
      <c r="C116" s="325" t="s">
        <v>296</v>
      </c>
      <c r="D116" s="279">
        <f>SUM(D106:D115)</f>
        <v>5350</v>
      </c>
      <c r="E116" s="275" t="s">
        <v>295</v>
      </c>
      <c r="F116" s="278">
        <f>SUM(F106:F110)-F113</f>
        <v>7265.625</v>
      </c>
      <c r="G116" s="263" t="s">
        <v>296</v>
      </c>
      <c r="H116" s="279">
        <f>SUM(H106:H115)</f>
        <v>750</v>
      </c>
    </row>
    <row r="117" spans="1:8" ht="15" customHeight="1">
      <c r="A117" s="571" t="s">
        <v>48</v>
      </c>
      <c r="B117" s="571"/>
      <c r="C117" s="572">
        <f>B116-D116</f>
        <v>2364.2596153846152</v>
      </c>
      <c r="D117" s="573"/>
      <c r="E117" s="571" t="s">
        <v>48</v>
      </c>
      <c r="F117" s="571"/>
      <c r="G117" s="572">
        <f>F116-H116</f>
        <v>6515.625</v>
      </c>
      <c r="H117" s="573"/>
    </row>
    <row r="118" spans="1:8" ht="15" customHeight="1">
      <c r="A118" s="304"/>
      <c r="B118" s="304"/>
      <c r="C118" s="305"/>
      <c r="D118" s="306"/>
    </row>
    <row r="119" spans="1:8" ht="15" customHeight="1">
      <c r="A119" s="364" t="s">
        <v>246</v>
      </c>
      <c r="B119" s="364"/>
      <c r="C119" s="364" t="s">
        <v>247</v>
      </c>
      <c r="D119" s="364"/>
      <c r="E119" s="364" t="s">
        <v>246</v>
      </c>
      <c r="F119" s="364"/>
      <c r="G119" s="364" t="s">
        <v>247</v>
      </c>
      <c r="H119" s="364"/>
    </row>
    <row r="120" spans="1:8" ht="15" customHeight="1">
      <c r="A120" s="364"/>
      <c r="B120" s="364"/>
      <c r="C120" s="364"/>
      <c r="D120" s="364"/>
      <c r="E120" s="364"/>
      <c r="F120" s="364"/>
      <c r="G120" s="364"/>
      <c r="H120" s="364"/>
    </row>
    <row r="121" spans="1:8" ht="15" customHeight="1">
      <c r="A121" s="414" t="s">
        <v>249</v>
      </c>
      <c r="B121" s="364"/>
      <c r="C121" s="414" t="s">
        <v>142</v>
      </c>
      <c r="D121" s="364"/>
      <c r="E121" s="414" t="s">
        <v>249</v>
      </c>
      <c r="F121" s="364"/>
      <c r="G121" s="414" t="s">
        <v>142</v>
      </c>
      <c r="H121" s="364"/>
    </row>
    <row r="122" spans="1:8" ht="15" customHeight="1">
      <c r="A122" s="364" t="s">
        <v>208</v>
      </c>
      <c r="B122" s="364"/>
      <c r="C122" s="364" t="s">
        <v>393</v>
      </c>
      <c r="D122" s="364"/>
      <c r="E122" s="364" t="s">
        <v>208</v>
      </c>
      <c r="F122" s="364"/>
      <c r="G122" s="364" t="s">
        <v>393</v>
      </c>
      <c r="H122" s="364"/>
    </row>
    <row r="123" spans="1:8" ht="15" customHeight="1">
      <c r="A123" s="304"/>
      <c r="B123" s="304"/>
      <c r="C123" s="305"/>
      <c r="D123" s="306"/>
    </row>
    <row r="124" spans="1:8" ht="15" customHeight="1">
      <c r="A124" s="304"/>
      <c r="B124" s="304"/>
      <c r="C124" s="305"/>
      <c r="D124" s="306"/>
    </row>
    <row r="125" spans="1:8" ht="15" customHeight="1">
      <c r="A125" s="264"/>
      <c r="B125" s="265"/>
      <c r="C125" s="265"/>
      <c r="D125" s="266"/>
      <c r="E125" s="264"/>
      <c r="F125" s="265"/>
      <c r="G125" s="265"/>
      <c r="H125" s="266"/>
    </row>
    <row r="126" spans="1:8" ht="15" customHeight="1">
      <c r="A126" s="267"/>
      <c r="D126" s="268"/>
      <c r="E126" s="267"/>
      <c r="H126" s="268"/>
    </row>
    <row r="127" spans="1:8" ht="15" customHeight="1">
      <c r="A127" s="267"/>
      <c r="D127" s="268"/>
      <c r="E127" s="267"/>
      <c r="H127" s="268"/>
    </row>
    <row r="128" spans="1:8" ht="15" customHeight="1">
      <c r="A128" s="267"/>
      <c r="D128" s="268"/>
      <c r="E128" s="267"/>
      <c r="H128" s="268"/>
    </row>
    <row r="129" spans="1:8" ht="15" customHeight="1">
      <c r="A129" s="267"/>
      <c r="D129" s="268"/>
      <c r="E129" s="267"/>
      <c r="H129" s="268"/>
    </row>
    <row r="130" spans="1:8" ht="15" customHeight="1">
      <c r="A130" s="269" t="s">
        <v>36</v>
      </c>
      <c r="B130" s="281" t="s">
        <v>427</v>
      </c>
      <c r="C130" s="261"/>
      <c r="D130" s="270"/>
      <c r="E130" s="269" t="s">
        <v>36</v>
      </c>
      <c r="F130" s="281" t="s">
        <v>430</v>
      </c>
      <c r="G130" s="261"/>
      <c r="H130" s="270"/>
    </row>
    <row r="131" spans="1:8" ht="15" customHeight="1">
      <c r="A131" s="269" t="s">
        <v>283</v>
      </c>
      <c r="B131" s="280" t="str">
        <f>B7</f>
        <v>: 30 JUNE 2026</v>
      </c>
      <c r="C131" s="261"/>
      <c r="D131" s="270"/>
      <c r="E131" s="269" t="s">
        <v>283</v>
      </c>
      <c r="F131" s="280" t="str">
        <f>B7</f>
        <v>: 30 JUNE 2026</v>
      </c>
      <c r="G131" s="261"/>
      <c r="H131" s="270"/>
    </row>
    <row r="132" spans="1:8" ht="15" customHeight="1">
      <c r="A132" s="269" t="s">
        <v>284</v>
      </c>
      <c r="B132" s="281" t="str">
        <f>B8</f>
        <v>: 06/11/2026 - 06/25/2026</v>
      </c>
      <c r="C132" s="261"/>
      <c r="D132" s="270"/>
      <c r="E132" s="269" t="s">
        <v>284</v>
      </c>
      <c r="F132" s="281" t="str">
        <f>B8</f>
        <v>: 06/11/2026 - 06/25/2026</v>
      </c>
      <c r="G132" s="261"/>
      <c r="H132" s="270"/>
    </row>
    <row r="133" spans="1:8" ht="15" customHeight="1">
      <c r="A133" s="269" t="s">
        <v>285</v>
      </c>
      <c r="B133" s="281" t="s">
        <v>418</v>
      </c>
      <c r="C133" s="261"/>
      <c r="D133" s="270"/>
      <c r="E133" s="269" t="s">
        <v>285</v>
      </c>
      <c r="F133" s="280" t="s">
        <v>301</v>
      </c>
      <c r="G133" s="261"/>
      <c r="H133" s="270"/>
    </row>
    <row r="134" spans="1:8" ht="15" customHeight="1">
      <c r="A134" s="269" t="s">
        <v>286</v>
      </c>
      <c r="B134" s="280" t="s">
        <v>433</v>
      </c>
      <c r="C134" s="261"/>
      <c r="D134" s="270"/>
      <c r="E134" s="269" t="s">
        <v>286</v>
      </c>
      <c r="F134" s="280" t="s">
        <v>376</v>
      </c>
      <c r="G134" s="261"/>
      <c r="H134" s="270"/>
    </row>
    <row r="135" spans="1:8" ht="15" customHeight="1">
      <c r="A135" s="569" t="s">
        <v>287</v>
      </c>
      <c r="B135" s="570"/>
      <c r="C135" s="574" t="s">
        <v>288</v>
      </c>
      <c r="D135" s="575"/>
      <c r="E135" s="569" t="s">
        <v>287</v>
      </c>
      <c r="F135" s="570"/>
      <c r="G135" s="574" t="s">
        <v>288</v>
      </c>
      <c r="H135" s="575"/>
    </row>
    <row r="136" spans="1:8" ht="15" customHeight="1">
      <c r="A136" s="271" t="s">
        <v>289</v>
      </c>
      <c r="B136" s="307">
        <f>'SEPT 30'!D19</f>
        <v>9963.4802884615383</v>
      </c>
      <c r="C136" s="272" t="s">
        <v>149</v>
      </c>
      <c r="D136" s="293">
        <v>0</v>
      </c>
      <c r="E136" s="271" t="s">
        <v>289</v>
      </c>
      <c r="F136" s="307">
        <f>'SEPT 30'!D26</f>
        <v>6562.5</v>
      </c>
      <c r="G136" s="272" t="s">
        <v>149</v>
      </c>
      <c r="H136" s="293">
        <v>0</v>
      </c>
    </row>
    <row r="137" spans="1:8" ht="15" customHeight="1">
      <c r="A137" s="273" t="s">
        <v>291</v>
      </c>
      <c r="B137" s="289">
        <v>0</v>
      </c>
      <c r="C137" s="272" t="s">
        <v>293</v>
      </c>
      <c r="D137" s="293">
        <v>500</v>
      </c>
      <c r="E137" s="273" t="s">
        <v>291</v>
      </c>
      <c r="F137" s="289">
        <v>1300</v>
      </c>
      <c r="G137" s="272" t="s">
        <v>293</v>
      </c>
      <c r="H137" s="293">
        <v>0</v>
      </c>
    </row>
    <row r="138" spans="1:8" ht="15" customHeight="1">
      <c r="A138" s="273" t="s">
        <v>297</v>
      </c>
      <c r="B138" s="289">
        <f>'SEPT 30'!G19</f>
        <v>1186.1286057692309</v>
      </c>
      <c r="C138" s="272" t="s">
        <v>146</v>
      </c>
      <c r="D138" s="293">
        <v>1000</v>
      </c>
      <c r="E138" s="273" t="s">
        <v>297</v>
      </c>
      <c r="F138" s="289">
        <f>'SEPT 30'!G26</f>
        <v>1015.625</v>
      </c>
      <c r="G138" s="272" t="s">
        <v>146</v>
      </c>
      <c r="H138" s="293">
        <v>650</v>
      </c>
    </row>
    <row r="139" spans="1:8" ht="15" customHeight="1">
      <c r="A139" s="273" t="s">
        <v>187</v>
      </c>
      <c r="B139" s="289">
        <f>'SEPT 30'!H19</f>
        <v>0</v>
      </c>
      <c r="C139" s="272" t="s">
        <v>314</v>
      </c>
      <c r="D139" s="293">
        <v>800</v>
      </c>
      <c r="E139" s="273" t="s">
        <v>187</v>
      </c>
      <c r="F139" s="289">
        <f>'SEPT 30'!H26</f>
        <v>0</v>
      </c>
      <c r="G139" s="272" t="s">
        <v>314</v>
      </c>
      <c r="H139" s="293">
        <v>0</v>
      </c>
    </row>
    <row r="140" spans="1:8" ht="15" customHeight="1">
      <c r="A140" s="273" t="s">
        <v>298</v>
      </c>
      <c r="B140" s="289">
        <v>0</v>
      </c>
      <c r="C140" s="272" t="s">
        <v>294</v>
      </c>
      <c r="D140" s="293">
        <v>0</v>
      </c>
      <c r="E140" s="273" t="s">
        <v>298</v>
      </c>
      <c r="F140" s="289">
        <f>'SEPT 30'!S26</f>
        <v>0</v>
      </c>
      <c r="G140" s="272" t="s">
        <v>294</v>
      </c>
      <c r="H140" s="293">
        <v>0</v>
      </c>
    </row>
    <row r="141" spans="1:8" ht="15" customHeight="1">
      <c r="A141" s="282"/>
      <c r="B141" s="283"/>
      <c r="C141" s="272" t="s">
        <v>50</v>
      </c>
      <c r="D141" s="293">
        <v>0</v>
      </c>
      <c r="E141" s="282"/>
      <c r="F141" s="290"/>
      <c r="G141" s="272" t="s">
        <v>50</v>
      </c>
      <c r="H141" s="293">
        <v>0</v>
      </c>
    </row>
    <row r="142" spans="1:8" ht="15" customHeight="1">
      <c r="A142" s="282"/>
      <c r="B142" s="283"/>
      <c r="C142" s="272" t="s">
        <v>317</v>
      </c>
      <c r="D142" s="293">
        <v>0</v>
      </c>
      <c r="E142" s="282"/>
      <c r="F142" s="290"/>
      <c r="G142" s="272" t="s">
        <v>317</v>
      </c>
      <c r="H142" s="293">
        <v>0</v>
      </c>
    </row>
    <row r="143" spans="1:8" ht="15" customHeight="1">
      <c r="A143" s="316" t="s">
        <v>319</v>
      </c>
      <c r="B143" s="309">
        <f>'SEPT 30'!E19</f>
        <v>863.50162499999999</v>
      </c>
      <c r="C143" s="272" t="s">
        <v>315</v>
      </c>
      <c r="D143" s="293">
        <v>0</v>
      </c>
      <c r="E143" s="316" t="s">
        <v>319</v>
      </c>
      <c r="F143" s="309">
        <f>'SEPT 30'!E26</f>
        <v>187.5</v>
      </c>
      <c r="G143" s="272" t="s">
        <v>315</v>
      </c>
      <c r="H143" s="293"/>
    </row>
    <row r="144" spans="1:8" ht="15" customHeight="1">
      <c r="A144" s="284"/>
      <c r="B144" s="285"/>
      <c r="C144" s="272" t="s">
        <v>365</v>
      </c>
      <c r="D144" s="293">
        <v>100</v>
      </c>
      <c r="E144" s="284"/>
      <c r="F144" s="291"/>
      <c r="G144" s="272" t="s">
        <v>365</v>
      </c>
      <c r="H144" s="293">
        <v>100</v>
      </c>
    </row>
    <row r="145" spans="1:8" ht="15" customHeight="1">
      <c r="A145" s="286"/>
      <c r="B145" s="288"/>
      <c r="C145" s="276"/>
      <c r="D145" s="277"/>
      <c r="E145" s="286"/>
      <c r="F145" s="287"/>
      <c r="G145" s="262"/>
      <c r="H145" s="303">
        <v>0</v>
      </c>
    </row>
    <row r="146" spans="1:8" ht="15" customHeight="1">
      <c r="A146" s="275" t="s">
        <v>295</v>
      </c>
      <c r="B146" s="278">
        <f>SUM(B136:B140)-B143</f>
        <v>10286.107269230768</v>
      </c>
      <c r="C146" s="263" t="s">
        <v>296</v>
      </c>
      <c r="D146" s="279">
        <f>SUM(D136:D145)</f>
        <v>2400</v>
      </c>
      <c r="E146" s="275" t="s">
        <v>295</v>
      </c>
      <c r="F146" s="278">
        <f>SUM(F136:F140)-F143</f>
        <v>8690.625</v>
      </c>
      <c r="G146" s="263" t="s">
        <v>296</v>
      </c>
      <c r="H146" s="279">
        <f>SUM(H136:H145)</f>
        <v>750</v>
      </c>
    </row>
    <row r="147" spans="1:8" ht="15" customHeight="1">
      <c r="A147" s="571" t="s">
        <v>48</v>
      </c>
      <c r="B147" s="571"/>
      <c r="C147" s="572">
        <f>B146-D146</f>
        <v>7886.107269230768</v>
      </c>
      <c r="D147" s="573"/>
      <c r="E147" s="571" t="s">
        <v>48</v>
      </c>
      <c r="F147" s="571"/>
      <c r="G147" s="572">
        <f>F146-H146</f>
        <v>7940.625</v>
      </c>
      <c r="H147" s="573"/>
    </row>
    <row r="149" spans="1:8" ht="15" customHeight="1">
      <c r="A149" s="364" t="s">
        <v>246</v>
      </c>
      <c r="B149" s="364"/>
      <c r="C149" s="364" t="s">
        <v>247</v>
      </c>
      <c r="D149" s="364"/>
      <c r="E149" s="364" t="s">
        <v>246</v>
      </c>
      <c r="F149" s="364"/>
      <c r="G149" s="364" t="s">
        <v>247</v>
      </c>
      <c r="H149" s="364"/>
    </row>
    <row r="150" spans="1:8" ht="15" customHeight="1">
      <c r="A150" s="364"/>
      <c r="B150" s="364"/>
      <c r="C150" s="364"/>
      <c r="D150" s="364"/>
      <c r="E150" s="364"/>
      <c r="F150" s="364"/>
      <c r="G150" s="364"/>
      <c r="H150" s="364"/>
    </row>
    <row r="151" spans="1:8" ht="15" customHeight="1">
      <c r="A151" s="414" t="s">
        <v>249</v>
      </c>
      <c r="B151" s="364"/>
      <c r="C151" s="414" t="s">
        <v>142</v>
      </c>
      <c r="D151" s="364"/>
      <c r="E151" s="414" t="s">
        <v>249</v>
      </c>
      <c r="F151" s="364"/>
      <c r="G151" s="414" t="s">
        <v>142</v>
      </c>
      <c r="H151" s="364"/>
    </row>
    <row r="152" spans="1:8" ht="15" customHeight="1">
      <c r="A152" s="364" t="s">
        <v>208</v>
      </c>
      <c r="B152" s="364"/>
      <c r="C152" s="364" t="s">
        <v>393</v>
      </c>
      <c r="D152" s="364"/>
      <c r="E152" s="364" t="s">
        <v>208</v>
      </c>
      <c r="F152" s="364"/>
      <c r="G152" s="364" t="s">
        <v>393</v>
      </c>
      <c r="H152" s="364"/>
    </row>
    <row r="157" spans="1:8" ht="15" customHeight="1">
      <c r="A157" s="264"/>
      <c r="B157" s="265"/>
      <c r="C157" s="265"/>
      <c r="D157" s="266"/>
      <c r="E157" s="264"/>
      <c r="F157" s="265"/>
      <c r="G157" s="265"/>
      <c r="H157" s="266"/>
    </row>
    <row r="158" spans="1:8" ht="15" customHeight="1">
      <c r="A158" s="267"/>
      <c r="D158" s="268"/>
      <c r="E158" s="267"/>
      <c r="H158" s="268"/>
    </row>
    <row r="159" spans="1:8" ht="15" customHeight="1">
      <c r="A159" s="267"/>
      <c r="D159" s="268"/>
      <c r="E159" s="267"/>
      <c r="H159" s="268"/>
    </row>
    <row r="160" spans="1:8" ht="15" customHeight="1">
      <c r="A160" s="267"/>
      <c r="D160" s="268"/>
      <c r="E160" s="267"/>
      <c r="H160" s="268"/>
    </row>
    <row r="161" spans="1:8" ht="15" customHeight="1">
      <c r="A161" s="267"/>
      <c r="D161" s="268"/>
      <c r="E161" s="267"/>
      <c r="H161" s="268"/>
    </row>
    <row r="162" spans="1:8" ht="15" customHeight="1">
      <c r="A162" s="269" t="s">
        <v>36</v>
      </c>
      <c r="B162" s="281" t="s">
        <v>429</v>
      </c>
      <c r="C162" s="261"/>
      <c r="D162" s="270"/>
      <c r="E162" s="269" t="s">
        <v>36</v>
      </c>
      <c r="F162" s="281" t="s">
        <v>431</v>
      </c>
      <c r="G162" s="261"/>
      <c r="H162" s="270"/>
    </row>
    <row r="163" spans="1:8" ht="15" customHeight="1">
      <c r="A163" s="269" t="s">
        <v>283</v>
      </c>
      <c r="B163" s="280" t="str">
        <f>B7</f>
        <v>: 30 JUNE 2026</v>
      </c>
      <c r="C163" s="261"/>
      <c r="D163" s="270"/>
      <c r="E163" s="269" t="s">
        <v>283</v>
      </c>
      <c r="F163" s="280" t="str">
        <f>B7</f>
        <v>: 30 JUNE 2026</v>
      </c>
      <c r="G163" s="261"/>
      <c r="H163" s="270"/>
    </row>
    <row r="164" spans="1:8" ht="15" customHeight="1">
      <c r="A164" s="269" t="s">
        <v>284</v>
      </c>
      <c r="B164" s="281" t="str">
        <f>B8</f>
        <v>: 06/11/2026 - 06/25/2026</v>
      </c>
      <c r="C164" s="261"/>
      <c r="D164" s="270"/>
      <c r="E164" s="269" t="s">
        <v>284</v>
      </c>
      <c r="F164" s="281" t="str">
        <f>B8</f>
        <v>: 06/11/2026 - 06/25/2026</v>
      </c>
      <c r="G164" s="261"/>
      <c r="H164" s="270"/>
    </row>
    <row r="165" spans="1:8" ht="15" customHeight="1">
      <c r="A165" s="269" t="s">
        <v>285</v>
      </c>
      <c r="B165" s="281" t="s">
        <v>418</v>
      </c>
      <c r="C165" s="261"/>
      <c r="D165" s="270"/>
      <c r="E165" s="269" t="s">
        <v>285</v>
      </c>
      <c r="F165" s="280" t="s">
        <v>405</v>
      </c>
      <c r="G165" s="261"/>
      <c r="H165" s="270"/>
    </row>
    <row r="166" spans="1:8" ht="15" customHeight="1">
      <c r="A166" s="269" t="s">
        <v>286</v>
      </c>
      <c r="B166" s="281" t="s">
        <v>432</v>
      </c>
      <c r="C166" s="261"/>
      <c r="D166" s="270"/>
      <c r="E166" s="269" t="s">
        <v>286</v>
      </c>
      <c r="F166" s="280" t="s">
        <v>343</v>
      </c>
      <c r="G166" s="261"/>
      <c r="H166" s="270"/>
    </row>
    <row r="167" spans="1:8" ht="15" customHeight="1">
      <c r="A167" s="569" t="s">
        <v>287</v>
      </c>
      <c r="B167" s="570"/>
      <c r="C167" s="574" t="s">
        <v>288</v>
      </c>
      <c r="D167" s="575"/>
      <c r="E167" s="569" t="s">
        <v>287</v>
      </c>
      <c r="F167" s="570"/>
      <c r="G167" s="574" t="s">
        <v>288</v>
      </c>
      <c r="H167" s="575"/>
    </row>
    <row r="168" spans="1:8" ht="15" customHeight="1">
      <c r="A168" s="271" t="s">
        <v>289</v>
      </c>
      <c r="B168" s="307">
        <f>'SEPT 30'!D16</f>
        <v>7000</v>
      </c>
      <c r="C168" s="272" t="s">
        <v>149</v>
      </c>
      <c r="D168" s="293">
        <v>0</v>
      </c>
      <c r="E168" s="271" t="s">
        <v>289</v>
      </c>
      <c r="F168" s="307">
        <f>'SEPT 30'!D43</f>
        <v>8224.0543269230766</v>
      </c>
      <c r="G168" s="272" t="s">
        <v>149</v>
      </c>
      <c r="H168" s="293">
        <f>'SEPT 30'!Q43</f>
        <v>0</v>
      </c>
    </row>
    <row r="169" spans="1:8" ht="15" customHeight="1">
      <c r="A169" s="273" t="s">
        <v>291</v>
      </c>
      <c r="B169" s="289">
        <v>1500</v>
      </c>
      <c r="C169" s="272" t="s">
        <v>293</v>
      </c>
      <c r="D169" s="293">
        <v>0</v>
      </c>
      <c r="E169" s="273" t="s">
        <v>291</v>
      </c>
      <c r="F169" s="289">
        <v>0</v>
      </c>
      <c r="G169" s="272" t="s">
        <v>293</v>
      </c>
      <c r="H169" s="293">
        <v>0</v>
      </c>
    </row>
    <row r="170" spans="1:8" ht="15" customHeight="1">
      <c r="A170" s="273" t="s">
        <v>297</v>
      </c>
      <c r="B170" s="289">
        <v>0</v>
      </c>
      <c r="C170" s="272" t="s">
        <v>146</v>
      </c>
      <c r="D170" s="293">
        <v>1050</v>
      </c>
      <c r="E170" s="273" t="s">
        <v>297</v>
      </c>
      <c r="F170" s="289">
        <f>'SEPT 30'!G43</f>
        <v>0</v>
      </c>
      <c r="G170" s="272" t="s">
        <v>146</v>
      </c>
      <c r="H170" s="293">
        <f>'SEPT 30'!K43</f>
        <v>825</v>
      </c>
    </row>
    <row r="171" spans="1:8" ht="15" customHeight="1">
      <c r="A171" s="273" t="s">
        <v>187</v>
      </c>
      <c r="B171" s="289">
        <f>'SEPT 30'!H16</f>
        <v>0</v>
      </c>
      <c r="C171" s="272" t="s">
        <v>314</v>
      </c>
      <c r="D171" s="293">
        <v>0</v>
      </c>
      <c r="E171" s="273" t="s">
        <v>187</v>
      </c>
      <c r="F171" s="289">
        <f>'SEPT 30'!H43</f>
        <v>0</v>
      </c>
      <c r="G171" s="272" t="s">
        <v>314</v>
      </c>
      <c r="H171" s="293">
        <v>1667.95</v>
      </c>
    </row>
    <row r="172" spans="1:8" ht="15" customHeight="1">
      <c r="A172" s="273" t="s">
        <v>298</v>
      </c>
      <c r="B172" s="289">
        <v>0</v>
      </c>
      <c r="C172" s="272" t="s">
        <v>294</v>
      </c>
      <c r="D172" s="293">
        <v>0</v>
      </c>
      <c r="E172" s="273" t="s">
        <v>298</v>
      </c>
      <c r="F172" s="289">
        <f>'SEPT 30'!S43</f>
        <v>0</v>
      </c>
      <c r="G172" s="272" t="s">
        <v>294</v>
      </c>
      <c r="H172" s="293">
        <v>0</v>
      </c>
    </row>
    <row r="173" spans="1:8" ht="15" customHeight="1">
      <c r="A173" s="282"/>
      <c r="B173" s="290"/>
      <c r="C173" s="272" t="s">
        <v>50</v>
      </c>
      <c r="D173" s="293">
        <v>0</v>
      </c>
      <c r="E173" s="282"/>
      <c r="F173" s="290"/>
      <c r="G173" s="272" t="s">
        <v>50</v>
      </c>
      <c r="H173" s="293">
        <v>0</v>
      </c>
    </row>
    <row r="174" spans="1:8" ht="15" customHeight="1">
      <c r="A174" s="282"/>
      <c r="B174" s="290"/>
      <c r="C174" s="272" t="s">
        <v>317</v>
      </c>
      <c r="D174" s="293">
        <v>0</v>
      </c>
      <c r="E174" s="282"/>
      <c r="F174" s="290"/>
      <c r="G174" s="272" t="s">
        <v>317</v>
      </c>
      <c r="H174" s="293">
        <v>0</v>
      </c>
    </row>
    <row r="175" spans="1:8" ht="15" customHeight="1">
      <c r="A175" s="316" t="s">
        <v>319</v>
      </c>
      <c r="B175" s="309">
        <f>'SEPT 30'!E16</f>
        <v>0</v>
      </c>
      <c r="C175" s="272" t="s">
        <v>315</v>
      </c>
      <c r="D175" s="293"/>
      <c r="E175" s="316" t="s">
        <v>319</v>
      </c>
      <c r="F175" s="309">
        <f>'SEPT 30'!E43</f>
        <v>0</v>
      </c>
      <c r="G175" s="272" t="s">
        <v>315</v>
      </c>
      <c r="H175" s="293"/>
    </row>
    <row r="176" spans="1:8" ht="15" customHeight="1">
      <c r="A176" s="284"/>
      <c r="B176" s="291"/>
      <c r="C176" s="272" t="s">
        <v>365</v>
      </c>
      <c r="D176" s="293">
        <v>100</v>
      </c>
      <c r="E176" s="284"/>
      <c r="F176" s="291"/>
      <c r="G176" s="272" t="s">
        <v>365</v>
      </c>
      <c r="H176" s="293">
        <v>100</v>
      </c>
    </row>
    <row r="177" spans="1:8" ht="15" customHeight="1">
      <c r="A177" s="286"/>
      <c r="B177" s="287"/>
      <c r="C177" s="262"/>
      <c r="D177" s="303">
        <v>0</v>
      </c>
      <c r="E177" s="286"/>
      <c r="F177" s="287"/>
      <c r="G177" s="262"/>
      <c r="H177" s="303">
        <v>0</v>
      </c>
    </row>
    <row r="178" spans="1:8" ht="15" customHeight="1">
      <c r="A178" s="275" t="s">
        <v>295</v>
      </c>
      <c r="B178" s="278">
        <f>SUM(B168:B172)-B175</f>
        <v>8500</v>
      </c>
      <c r="C178" s="263" t="s">
        <v>296</v>
      </c>
      <c r="D178" s="279">
        <f>SUM(D168:D177)</f>
        <v>1150</v>
      </c>
      <c r="E178" s="275" t="s">
        <v>295</v>
      </c>
      <c r="F178" s="278">
        <f>SUM(F168:F172)-F175</f>
        <v>8224.0543269230766</v>
      </c>
      <c r="G178" s="263" t="s">
        <v>296</v>
      </c>
      <c r="H178" s="279">
        <f>SUM(H168:H177)</f>
        <v>2592.9499999999998</v>
      </c>
    </row>
    <row r="179" spans="1:8" ht="15" customHeight="1">
      <c r="A179" s="571" t="s">
        <v>48</v>
      </c>
      <c r="B179" s="571"/>
      <c r="C179" s="572">
        <f>B178-D178</f>
        <v>7350</v>
      </c>
      <c r="D179" s="573"/>
      <c r="E179" s="571" t="s">
        <v>48</v>
      </c>
      <c r="F179" s="571"/>
      <c r="G179" s="572">
        <f>F178-H178</f>
        <v>5631.1043269230768</v>
      </c>
      <c r="H179" s="573"/>
    </row>
    <row r="180" spans="1:8" ht="15" customHeight="1">
      <c r="A180" s="304"/>
      <c r="B180" s="304"/>
      <c r="C180" s="305"/>
      <c r="D180" s="306"/>
    </row>
    <row r="181" spans="1:8" ht="15" customHeight="1">
      <c r="A181" s="364" t="s">
        <v>246</v>
      </c>
      <c r="B181" s="364"/>
      <c r="C181" s="364" t="s">
        <v>247</v>
      </c>
      <c r="D181" s="364"/>
      <c r="E181" s="364" t="s">
        <v>246</v>
      </c>
      <c r="F181" s="364"/>
      <c r="G181" s="364" t="s">
        <v>247</v>
      </c>
      <c r="H181" s="364"/>
    </row>
    <row r="182" spans="1:8" ht="15" customHeight="1">
      <c r="A182" s="364"/>
      <c r="B182" s="364"/>
      <c r="C182" s="364"/>
      <c r="D182" s="364"/>
      <c r="E182" s="364"/>
      <c r="F182" s="364"/>
      <c r="G182" s="364"/>
      <c r="H182" s="364"/>
    </row>
    <row r="183" spans="1:8" ht="15" customHeight="1">
      <c r="A183" s="414" t="s">
        <v>249</v>
      </c>
      <c r="B183" s="364"/>
      <c r="C183" s="414" t="s">
        <v>142</v>
      </c>
      <c r="D183" s="364"/>
      <c r="E183" s="414" t="s">
        <v>249</v>
      </c>
      <c r="F183" s="364"/>
      <c r="G183" s="414" t="s">
        <v>142</v>
      </c>
      <c r="H183" s="364"/>
    </row>
    <row r="184" spans="1:8" ht="15" customHeight="1">
      <c r="A184" s="364" t="s">
        <v>208</v>
      </c>
      <c r="B184" s="364"/>
      <c r="C184" s="364" t="s">
        <v>393</v>
      </c>
      <c r="D184" s="364"/>
      <c r="E184" s="364" t="s">
        <v>208</v>
      </c>
      <c r="F184" s="364"/>
      <c r="G184" s="364" t="s">
        <v>393</v>
      </c>
      <c r="H184" s="364"/>
    </row>
    <row r="185" spans="1:8" ht="15" customHeight="1">
      <c r="A185" s="304"/>
      <c r="B185" s="304"/>
      <c r="C185" s="305"/>
      <c r="D185" s="306"/>
    </row>
    <row r="186" spans="1:8" ht="15" customHeight="1">
      <c r="A186" s="304"/>
      <c r="B186" s="304"/>
      <c r="C186" s="305"/>
      <c r="D186" s="306"/>
    </row>
    <row r="187" spans="1:8" ht="15" customHeight="1">
      <c r="A187" s="264"/>
      <c r="B187" s="265"/>
      <c r="C187" s="265"/>
      <c r="D187" s="266"/>
    </row>
    <row r="188" spans="1:8" ht="15" customHeight="1">
      <c r="A188" s="267"/>
      <c r="D188" s="268"/>
    </row>
    <row r="189" spans="1:8" ht="15" customHeight="1">
      <c r="A189" s="267"/>
      <c r="D189" s="268"/>
    </row>
    <row r="190" spans="1:8" ht="15" customHeight="1">
      <c r="A190" s="267"/>
      <c r="D190" s="268"/>
    </row>
    <row r="191" spans="1:8" ht="15" customHeight="1">
      <c r="A191" s="267"/>
      <c r="D191" s="268"/>
    </row>
    <row r="192" spans="1:8" ht="15" customHeight="1">
      <c r="A192" s="269" t="s">
        <v>36</v>
      </c>
      <c r="B192" s="281" t="s">
        <v>443</v>
      </c>
      <c r="C192" s="261"/>
      <c r="D192" s="270"/>
    </row>
    <row r="193" spans="1:4" ht="15" customHeight="1">
      <c r="A193" s="269" t="s">
        <v>283</v>
      </c>
      <c r="B193" s="280" t="str">
        <f>B7</f>
        <v>: 30 JUNE 2026</v>
      </c>
      <c r="C193" s="261"/>
      <c r="D193" s="270"/>
    </row>
    <row r="194" spans="1:4" ht="15" customHeight="1">
      <c r="A194" s="269" t="s">
        <v>284</v>
      </c>
      <c r="B194" s="281" t="str">
        <f>B8</f>
        <v>: 06/11/2026 - 06/25/2026</v>
      </c>
      <c r="C194" s="261"/>
      <c r="D194" s="270"/>
    </row>
    <row r="195" spans="1:4" ht="15" customHeight="1">
      <c r="A195" s="269" t="s">
        <v>285</v>
      </c>
      <c r="B195" s="281" t="s">
        <v>418</v>
      </c>
      <c r="C195" s="261"/>
      <c r="D195" s="270"/>
    </row>
    <row r="196" spans="1:4" ht="15" customHeight="1">
      <c r="A196" s="269" t="s">
        <v>286</v>
      </c>
      <c r="B196" s="280" t="s">
        <v>334</v>
      </c>
      <c r="C196" s="261"/>
      <c r="D196" s="270"/>
    </row>
    <row r="197" spans="1:4" ht="15" customHeight="1">
      <c r="A197" s="569" t="s">
        <v>287</v>
      </c>
      <c r="B197" s="570"/>
      <c r="C197" s="574" t="s">
        <v>288</v>
      </c>
      <c r="D197" s="575"/>
    </row>
    <row r="198" spans="1:4" ht="15" customHeight="1">
      <c r="A198" s="271" t="s">
        <v>289</v>
      </c>
      <c r="B198" s="307" t="e">
        <f>'SEPT 30'!#REF!</f>
        <v>#REF!</v>
      </c>
      <c r="C198" s="272" t="s">
        <v>149</v>
      </c>
      <c r="D198" s="293">
        <f>'SEPT 30'!M74</f>
        <v>0</v>
      </c>
    </row>
    <row r="199" spans="1:4" ht="15" customHeight="1">
      <c r="A199" s="273" t="s">
        <v>291</v>
      </c>
      <c r="B199" s="289">
        <v>0</v>
      </c>
      <c r="C199" s="272" t="s">
        <v>293</v>
      </c>
      <c r="D199" s="293">
        <v>0</v>
      </c>
    </row>
    <row r="200" spans="1:4" ht="15" customHeight="1">
      <c r="A200" s="273" t="s">
        <v>297</v>
      </c>
      <c r="B200" s="289" t="e">
        <f>'SEPT 30'!#REF!</f>
        <v>#REF!</v>
      </c>
      <c r="C200" s="272" t="s">
        <v>146</v>
      </c>
      <c r="D200" s="293">
        <v>650</v>
      </c>
    </row>
    <row r="201" spans="1:4" ht="15" customHeight="1">
      <c r="A201" s="273" t="s">
        <v>187</v>
      </c>
      <c r="B201" s="289" t="e">
        <f>'SEPT 30'!#REF!</f>
        <v>#REF!</v>
      </c>
      <c r="C201" s="272" t="s">
        <v>314</v>
      </c>
      <c r="D201" s="293">
        <v>0</v>
      </c>
    </row>
    <row r="202" spans="1:4" ht="15" customHeight="1">
      <c r="A202" s="273" t="s">
        <v>298</v>
      </c>
      <c r="B202" s="289" t="e">
        <f>'SEPT 30'!#REF!</f>
        <v>#REF!</v>
      </c>
      <c r="C202" s="272" t="s">
        <v>294</v>
      </c>
      <c r="D202" s="293">
        <v>0</v>
      </c>
    </row>
    <row r="203" spans="1:4" ht="15" customHeight="1">
      <c r="A203" s="282"/>
      <c r="B203" s="290"/>
      <c r="C203" s="272" t="s">
        <v>50</v>
      </c>
      <c r="D203" s="293">
        <v>0</v>
      </c>
    </row>
    <row r="204" spans="1:4" ht="15" customHeight="1">
      <c r="A204" s="282"/>
      <c r="B204" s="290"/>
      <c r="C204" s="272" t="s">
        <v>317</v>
      </c>
      <c r="D204" s="293">
        <v>0</v>
      </c>
    </row>
    <row r="205" spans="1:4" ht="15" customHeight="1">
      <c r="A205" s="316" t="s">
        <v>319</v>
      </c>
      <c r="B205" s="309" t="e">
        <f>'SEPT 30'!#REF!</f>
        <v>#REF!</v>
      </c>
      <c r="C205" s="272" t="s">
        <v>315</v>
      </c>
      <c r="D205" s="293"/>
    </row>
    <row r="206" spans="1:4" ht="15" customHeight="1">
      <c r="A206" s="284"/>
      <c r="B206" s="291"/>
      <c r="C206" s="272" t="s">
        <v>365</v>
      </c>
      <c r="D206" s="293">
        <v>100</v>
      </c>
    </row>
    <row r="207" spans="1:4" ht="15" customHeight="1">
      <c r="A207" s="286"/>
      <c r="B207" s="287"/>
      <c r="C207" s="262"/>
      <c r="D207" s="303">
        <v>0</v>
      </c>
    </row>
    <row r="208" spans="1:4" ht="15" customHeight="1">
      <c r="A208" s="275" t="s">
        <v>295</v>
      </c>
      <c r="B208" s="278" t="e">
        <f>SUM(B198:B202)-B205</f>
        <v>#REF!</v>
      </c>
      <c r="C208" s="263" t="s">
        <v>296</v>
      </c>
      <c r="D208" s="279">
        <f>SUM(D198:D207)</f>
        <v>750</v>
      </c>
    </row>
    <row r="209" spans="1:4" ht="15" customHeight="1">
      <c r="A209" s="571" t="s">
        <v>48</v>
      </c>
      <c r="B209" s="571"/>
      <c r="C209" s="572" t="e">
        <f>B208-D208</f>
        <v>#REF!</v>
      </c>
      <c r="D209" s="573"/>
    </row>
    <row r="211" spans="1:4" ht="15" customHeight="1">
      <c r="A211" s="364" t="s">
        <v>246</v>
      </c>
      <c r="B211" s="364"/>
      <c r="C211" s="364" t="s">
        <v>247</v>
      </c>
      <c r="D211" s="364"/>
    </row>
    <row r="212" spans="1:4" ht="15" customHeight="1">
      <c r="A212" s="364"/>
      <c r="B212" s="364"/>
      <c r="C212" s="364"/>
      <c r="D212" s="364"/>
    </row>
    <row r="213" spans="1:4" ht="15" customHeight="1">
      <c r="A213" s="414" t="s">
        <v>249</v>
      </c>
      <c r="B213" s="364"/>
      <c r="C213" s="414" t="s">
        <v>142</v>
      </c>
      <c r="D213" s="364"/>
    </row>
    <row r="214" spans="1:4" ht="15" customHeight="1">
      <c r="A214" s="364" t="s">
        <v>208</v>
      </c>
      <c r="B214" s="364"/>
      <c r="C214" s="364" t="s">
        <v>393</v>
      </c>
      <c r="D214" s="364"/>
    </row>
  </sheetData>
  <mergeCells count="52">
    <mergeCell ref="A197:B197"/>
    <mergeCell ref="C197:D197"/>
    <mergeCell ref="A209:B209"/>
    <mergeCell ref="C209:D209"/>
    <mergeCell ref="A11:B11"/>
    <mergeCell ref="C11:D11"/>
    <mergeCell ref="E11:F11"/>
    <mergeCell ref="E55:F55"/>
    <mergeCell ref="G11:H11"/>
    <mergeCell ref="A23:B23"/>
    <mergeCell ref="C23:D23"/>
    <mergeCell ref="A43:B43"/>
    <mergeCell ref="C43:D43"/>
    <mergeCell ref="G55:H55"/>
    <mergeCell ref="E23:F23"/>
    <mergeCell ref="G23:H23"/>
    <mergeCell ref="E43:F43"/>
    <mergeCell ref="G43:H43"/>
    <mergeCell ref="A55:B55"/>
    <mergeCell ref="C55:D55"/>
    <mergeCell ref="E73:F73"/>
    <mergeCell ref="G73:H73"/>
    <mergeCell ref="A73:B73"/>
    <mergeCell ref="G135:H135"/>
    <mergeCell ref="A167:B167"/>
    <mergeCell ref="C167:D167"/>
    <mergeCell ref="C73:D73"/>
    <mergeCell ref="A117:B117"/>
    <mergeCell ref="C117:D117"/>
    <mergeCell ref="E117:F117"/>
    <mergeCell ref="G117:H117"/>
    <mergeCell ref="E85:F85"/>
    <mergeCell ref="G85:H85"/>
    <mergeCell ref="A105:B105"/>
    <mergeCell ref="C105:D105"/>
    <mergeCell ref="G105:H105"/>
    <mergeCell ref="E135:F135"/>
    <mergeCell ref="A85:B85"/>
    <mergeCell ref="C85:D85"/>
    <mergeCell ref="E179:F179"/>
    <mergeCell ref="G179:H179"/>
    <mergeCell ref="E105:F105"/>
    <mergeCell ref="A135:B135"/>
    <mergeCell ref="C135:D135"/>
    <mergeCell ref="A179:B179"/>
    <mergeCell ref="C179:D179"/>
    <mergeCell ref="A147:B147"/>
    <mergeCell ref="E147:F147"/>
    <mergeCell ref="G147:H147"/>
    <mergeCell ref="E167:F167"/>
    <mergeCell ref="G167:H167"/>
    <mergeCell ref="C147:D147"/>
  </mergeCells>
  <pageMargins left="0.76041666666666663" right="0.58333333333333337" top="0.40625" bottom="0.38541666666666669" header="0.3" footer="0.3"/>
  <pageSetup paperSize="5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46"/>
  <sheetViews>
    <sheetView view="pageLayout" topLeftCell="A215" zoomScaleNormal="100" workbookViewId="0">
      <selection activeCell="D199" sqref="D199"/>
    </sheetView>
  </sheetViews>
  <sheetFormatPr defaultColWidth="8.875" defaultRowHeight="15" customHeight="1"/>
  <cols>
    <col min="1" max="1" width="20.625" customWidth="1"/>
    <col min="2" max="2" width="22.5" customWidth="1"/>
    <col min="3" max="3" width="19.125" customWidth="1"/>
    <col min="4" max="4" width="13.625" customWidth="1"/>
    <col min="5" max="5" width="20.625" customWidth="1"/>
    <col min="6" max="6" width="22.5" customWidth="1"/>
    <col min="7" max="7" width="19.125" customWidth="1"/>
    <col min="8" max="8" width="13.625" customWidth="1"/>
  </cols>
  <sheetData>
    <row r="1" spans="1:8" ht="15" customHeight="1">
      <c r="A1" s="264"/>
      <c r="B1" s="265"/>
      <c r="C1" s="265"/>
      <c r="D1" s="266"/>
      <c r="E1" s="264"/>
      <c r="F1" s="265"/>
      <c r="G1" s="265"/>
      <c r="H1" s="266"/>
    </row>
    <row r="2" spans="1:8" ht="15" customHeight="1">
      <c r="A2" s="267"/>
      <c r="D2" s="268"/>
      <c r="E2" s="267"/>
      <c r="H2" s="268"/>
    </row>
    <row r="3" spans="1:8" ht="15" customHeight="1">
      <c r="A3" s="267"/>
      <c r="D3" s="268"/>
      <c r="E3" s="267"/>
      <c r="H3" s="268"/>
    </row>
    <row r="4" spans="1:8" ht="15" customHeight="1">
      <c r="A4" s="267"/>
      <c r="D4" s="268"/>
      <c r="E4" s="267"/>
      <c r="H4" s="268"/>
    </row>
    <row r="5" spans="1:8" ht="15" customHeight="1">
      <c r="A5" s="267"/>
      <c r="D5" s="268"/>
      <c r="E5" s="267"/>
      <c r="H5" s="268"/>
    </row>
    <row r="6" spans="1:8" ht="15" customHeight="1">
      <c r="A6" s="269" t="s">
        <v>36</v>
      </c>
      <c r="B6" s="281" t="s">
        <v>302</v>
      </c>
      <c r="C6" s="261"/>
      <c r="D6" s="270"/>
      <c r="E6" s="269" t="s">
        <v>36</v>
      </c>
      <c r="F6" s="281" t="s">
        <v>398</v>
      </c>
      <c r="G6" s="261"/>
      <c r="H6" s="270"/>
    </row>
    <row r="7" spans="1:8" ht="15" customHeight="1">
      <c r="A7" s="269" t="s">
        <v>283</v>
      </c>
      <c r="B7" s="280" t="s">
        <v>446</v>
      </c>
      <c r="C7" s="261"/>
      <c r="D7" s="270"/>
      <c r="E7" s="269" t="s">
        <v>283</v>
      </c>
      <c r="F7" s="280" t="str">
        <f>B7</f>
        <v>: 30 JUNE 2026</v>
      </c>
      <c r="G7" s="261"/>
      <c r="H7" s="270"/>
    </row>
    <row r="8" spans="1:8" ht="15" customHeight="1">
      <c r="A8" s="269" t="s">
        <v>284</v>
      </c>
      <c r="B8" s="281" t="s">
        <v>447</v>
      </c>
      <c r="C8" s="261"/>
      <c r="D8" s="270"/>
      <c r="E8" s="269" t="s">
        <v>284</v>
      </c>
      <c r="F8" s="281" t="str">
        <f>B8</f>
        <v>: 06/11/2026 - 06/25/2026</v>
      </c>
      <c r="G8" s="261"/>
      <c r="H8" s="270"/>
    </row>
    <row r="9" spans="1:8" ht="15" customHeight="1">
      <c r="A9" s="269" t="s">
        <v>285</v>
      </c>
      <c r="B9" s="280" t="s">
        <v>301</v>
      </c>
      <c r="C9" s="261"/>
      <c r="D9" s="270"/>
      <c r="E9" s="269" t="s">
        <v>285</v>
      </c>
      <c r="F9" s="281" t="s">
        <v>391</v>
      </c>
      <c r="G9" s="261"/>
      <c r="H9" s="270"/>
    </row>
    <row r="10" spans="1:8" ht="15" customHeight="1">
      <c r="A10" s="269" t="s">
        <v>286</v>
      </c>
      <c r="B10" s="280" t="s">
        <v>397</v>
      </c>
      <c r="C10" s="261"/>
      <c r="D10" s="270"/>
      <c r="E10" s="269" t="s">
        <v>286</v>
      </c>
      <c r="F10" s="280" t="s">
        <v>399</v>
      </c>
      <c r="G10" s="261"/>
      <c r="H10" s="270"/>
    </row>
    <row r="11" spans="1:8" ht="15" customHeight="1">
      <c r="A11" s="569" t="s">
        <v>287</v>
      </c>
      <c r="B11" s="570"/>
      <c r="C11" s="574" t="s">
        <v>288</v>
      </c>
      <c r="D11" s="576"/>
      <c r="E11" s="569" t="s">
        <v>287</v>
      </c>
      <c r="F11" s="570"/>
      <c r="G11" s="574" t="s">
        <v>288</v>
      </c>
      <c r="H11" s="575"/>
    </row>
    <row r="12" spans="1:8" ht="15" customHeight="1">
      <c r="A12" s="271" t="s">
        <v>289</v>
      </c>
      <c r="B12" s="307">
        <v>20000</v>
      </c>
      <c r="C12" s="272" t="s">
        <v>149</v>
      </c>
      <c r="D12" s="312">
        <v>0</v>
      </c>
      <c r="E12" s="271" t="s">
        <v>289</v>
      </c>
      <c r="F12" s="307">
        <f>'SEPT 30'!D18</f>
        <v>10000</v>
      </c>
      <c r="G12" s="272" t="s">
        <v>149</v>
      </c>
      <c r="H12" s="293">
        <v>0</v>
      </c>
    </row>
    <row r="13" spans="1:8" ht="15" customHeight="1">
      <c r="A13" s="273" t="s">
        <v>291</v>
      </c>
      <c r="B13" s="289">
        <v>5000</v>
      </c>
      <c r="C13" s="272" t="s">
        <v>316</v>
      </c>
      <c r="D13" s="308">
        <v>0</v>
      </c>
      <c r="E13" s="273" t="s">
        <v>291</v>
      </c>
      <c r="F13" s="289">
        <v>1500</v>
      </c>
      <c r="G13" s="272" t="s">
        <v>293</v>
      </c>
      <c r="H13" s="293">
        <v>0</v>
      </c>
    </row>
    <row r="14" spans="1:8" ht="15" customHeight="1">
      <c r="A14" s="273" t="s">
        <v>297</v>
      </c>
      <c r="B14" s="289">
        <v>0</v>
      </c>
      <c r="C14" s="272" t="s">
        <v>292</v>
      </c>
      <c r="D14" s="293">
        <v>0</v>
      </c>
      <c r="E14" s="273" t="s">
        <v>297</v>
      </c>
      <c r="F14" s="289">
        <f>'SEPT 30'!G18</f>
        <v>0</v>
      </c>
      <c r="G14" s="272" t="s">
        <v>146</v>
      </c>
      <c r="H14" s="293">
        <v>925</v>
      </c>
    </row>
    <row r="15" spans="1:8" ht="15" customHeight="1">
      <c r="A15" s="273" t="s">
        <v>187</v>
      </c>
      <c r="B15" s="289">
        <v>0</v>
      </c>
      <c r="C15" s="272" t="s">
        <v>293</v>
      </c>
      <c r="D15" s="293">
        <v>0</v>
      </c>
      <c r="E15" s="273" t="s">
        <v>187</v>
      </c>
      <c r="F15" s="289">
        <f>'SEPT 30'!H18</f>
        <v>0</v>
      </c>
      <c r="G15" s="272" t="s">
        <v>314</v>
      </c>
      <c r="H15" s="293">
        <v>0</v>
      </c>
    </row>
    <row r="16" spans="1:8" ht="15" customHeight="1">
      <c r="A16" s="273" t="s">
        <v>298</v>
      </c>
      <c r="B16" s="289">
        <v>0</v>
      </c>
      <c r="C16" s="272" t="s">
        <v>146</v>
      </c>
      <c r="D16" s="293">
        <v>0</v>
      </c>
      <c r="E16" s="273" t="s">
        <v>298</v>
      </c>
      <c r="F16" s="289">
        <v>0</v>
      </c>
      <c r="G16" s="272" t="s">
        <v>294</v>
      </c>
      <c r="H16" s="293">
        <v>0</v>
      </c>
    </row>
    <row r="17" spans="1:8" ht="15" customHeight="1">
      <c r="A17" s="282"/>
      <c r="B17" s="290"/>
      <c r="C17" s="272" t="s">
        <v>365</v>
      </c>
      <c r="D17" s="293">
        <v>100</v>
      </c>
      <c r="E17" s="282"/>
      <c r="F17" s="290"/>
      <c r="G17" s="272" t="s">
        <v>50</v>
      </c>
      <c r="H17" s="293">
        <v>0</v>
      </c>
    </row>
    <row r="18" spans="1:8" ht="15" customHeight="1">
      <c r="A18" s="282"/>
      <c r="B18" s="290"/>
      <c r="C18" s="272" t="s">
        <v>294</v>
      </c>
      <c r="D18" s="293">
        <v>0</v>
      </c>
      <c r="E18" s="282"/>
      <c r="F18" s="283"/>
      <c r="G18" s="272" t="s">
        <v>317</v>
      </c>
      <c r="H18" s="293">
        <v>0</v>
      </c>
    </row>
    <row r="19" spans="1:8" ht="15" customHeight="1">
      <c r="A19" s="282"/>
      <c r="B19" s="290"/>
      <c r="C19" s="272" t="s">
        <v>50</v>
      </c>
      <c r="D19" s="293">
        <v>0</v>
      </c>
      <c r="E19" s="316" t="s">
        <v>319</v>
      </c>
      <c r="F19" s="309">
        <f>'SEPT 30'!E18</f>
        <v>480.76923076923077</v>
      </c>
      <c r="G19" s="272" t="s">
        <v>315</v>
      </c>
      <c r="H19" s="293">
        <v>0</v>
      </c>
    </row>
    <row r="20" spans="1:8" ht="15" customHeight="1">
      <c r="A20" s="284"/>
      <c r="B20" s="291"/>
      <c r="C20" s="272" t="s">
        <v>290</v>
      </c>
      <c r="D20" s="293">
        <v>0</v>
      </c>
      <c r="E20" s="284"/>
      <c r="F20" s="285"/>
      <c r="G20" s="272" t="s">
        <v>365</v>
      </c>
      <c r="H20" s="293">
        <v>100</v>
      </c>
    </row>
    <row r="21" spans="1:8" ht="15" customHeight="1">
      <c r="A21" s="286"/>
      <c r="B21" s="292"/>
      <c r="C21" s="276"/>
      <c r="D21" s="294"/>
      <c r="E21" s="286"/>
      <c r="F21" s="287"/>
      <c r="G21" s="262"/>
      <c r="H21" s="303">
        <v>0</v>
      </c>
    </row>
    <row r="22" spans="1:8" ht="15" customHeight="1">
      <c r="A22" s="275" t="s">
        <v>295</v>
      </c>
      <c r="B22" s="278">
        <f>SUM(B12:B21)</f>
        <v>25000</v>
      </c>
      <c r="C22" s="263" t="s">
        <v>296</v>
      </c>
      <c r="D22" s="279">
        <f>SUM(D12:D21)</f>
        <v>100</v>
      </c>
      <c r="E22" s="275" t="s">
        <v>295</v>
      </c>
      <c r="F22" s="278">
        <f>SUM(F12:F16)-F19</f>
        <v>11019.23076923077</v>
      </c>
      <c r="G22" s="263" t="s">
        <v>296</v>
      </c>
      <c r="H22" s="279">
        <f>SUM(H12:H21)</f>
        <v>1025</v>
      </c>
    </row>
    <row r="23" spans="1:8" ht="15" customHeight="1">
      <c r="A23" s="571" t="s">
        <v>48</v>
      </c>
      <c r="B23" s="571"/>
      <c r="C23" s="572">
        <f>B22-D22</f>
        <v>24900</v>
      </c>
      <c r="D23" s="573"/>
      <c r="E23" s="571" t="s">
        <v>48</v>
      </c>
      <c r="F23" s="571"/>
      <c r="G23" s="572">
        <f>F22-H22</f>
        <v>9994.2307692307695</v>
      </c>
      <c r="H23" s="573"/>
    </row>
    <row r="24" spans="1:8" ht="15" customHeight="1">
      <c r="E24" s="304"/>
      <c r="F24" s="304"/>
      <c r="G24" s="305"/>
      <c r="H24" s="306"/>
    </row>
    <row r="25" spans="1:8" ht="15" customHeight="1">
      <c r="A25" s="364" t="s">
        <v>246</v>
      </c>
      <c r="B25" s="364"/>
      <c r="C25" s="364" t="s">
        <v>247</v>
      </c>
      <c r="D25" s="364"/>
      <c r="E25" s="364" t="s">
        <v>246</v>
      </c>
      <c r="F25" s="364"/>
      <c r="G25" s="364" t="s">
        <v>247</v>
      </c>
      <c r="H25" s="364"/>
    </row>
    <row r="26" spans="1:8" ht="15" customHeight="1">
      <c r="A26" s="364"/>
      <c r="B26" s="364"/>
      <c r="C26" s="364"/>
      <c r="D26" s="364"/>
      <c r="E26" s="364"/>
      <c r="F26" s="364"/>
      <c r="G26" s="364"/>
      <c r="H26" s="364"/>
    </row>
    <row r="27" spans="1:8" ht="15" customHeight="1">
      <c r="A27" s="414" t="s">
        <v>249</v>
      </c>
      <c r="B27" s="364"/>
      <c r="C27" s="414" t="s">
        <v>142</v>
      </c>
      <c r="D27" s="364"/>
      <c r="E27" s="414" t="s">
        <v>249</v>
      </c>
      <c r="F27" s="364"/>
      <c r="G27" s="414" t="s">
        <v>142</v>
      </c>
      <c r="H27" s="364"/>
    </row>
    <row r="28" spans="1:8" ht="15" customHeight="1">
      <c r="A28" s="364" t="s">
        <v>208</v>
      </c>
      <c r="B28" s="364"/>
      <c r="C28" s="364" t="s">
        <v>393</v>
      </c>
      <c r="D28" s="364"/>
      <c r="E28" s="364" t="s">
        <v>208</v>
      </c>
      <c r="F28" s="364"/>
      <c r="G28" s="364" t="s">
        <v>393</v>
      </c>
      <c r="H28" s="364"/>
    </row>
    <row r="29" spans="1:8" ht="15" customHeight="1">
      <c r="E29" s="304"/>
      <c r="F29" s="304"/>
      <c r="G29" s="305"/>
      <c r="H29" s="306"/>
    </row>
    <row r="30" spans="1:8" ht="15" customHeight="1">
      <c r="E30" s="304"/>
      <c r="F30" s="304"/>
      <c r="G30" s="305"/>
      <c r="H30" s="306"/>
    </row>
    <row r="31" spans="1:8" ht="15" customHeight="1">
      <c r="E31" s="304"/>
      <c r="F31" s="304"/>
      <c r="G31" s="305"/>
      <c r="H31" s="306"/>
    </row>
    <row r="32" spans="1:8" ht="15" customHeight="1">
      <c r="E32" s="304"/>
      <c r="F32" s="304"/>
      <c r="G32" s="305"/>
      <c r="H32" s="306"/>
    </row>
    <row r="33" spans="1:8" ht="15" customHeight="1">
      <c r="A33" s="264"/>
      <c r="B33" s="265"/>
      <c r="C33" s="265"/>
      <c r="D33" s="266"/>
      <c r="E33" s="264"/>
      <c r="F33" s="265"/>
      <c r="G33" s="265"/>
      <c r="H33" s="266"/>
    </row>
    <row r="34" spans="1:8" ht="15" customHeight="1">
      <c r="A34" s="267"/>
      <c r="D34" s="268"/>
      <c r="E34" s="267"/>
      <c r="H34" s="268"/>
    </row>
    <row r="35" spans="1:8" ht="15" customHeight="1">
      <c r="A35" s="267"/>
      <c r="D35" s="268"/>
      <c r="E35" s="267"/>
      <c r="H35" s="268"/>
    </row>
    <row r="36" spans="1:8" ht="15" customHeight="1">
      <c r="A36" s="267"/>
      <c r="D36" s="268"/>
      <c r="E36" s="267"/>
      <c r="H36" s="268"/>
    </row>
    <row r="37" spans="1:8" ht="15" customHeight="1">
      <c r="A37" s="267"/>
      <c r="D37" s="268"/>
      <c r="E37" s="267"/>
      <c r="H37" s="268"/>
    </row>
    <row r="38" spans="1:8" ht="15" customHeight="1">
      <c r="A38" s="269" t="s">
        <v>36</v>
      </c>
      <c r="B38" s="280" t="s">
        <v>417</v>
      </c>
      <c r="C38" s="261"/>
      <c r="D38" s="270"/>
      <c r="E38" s="269" t="s">
        <v>36</v>
      </c>
      <c r="F38" s="280" t="s">
        <v>415</v>
      </c>
      <c r="G38" s="261"/>
      <c r="H38" s="270"/>
    </row>
    <row r="39" spans="1:8" ht="15" customHeight="1">
      <c r="A39" s="269" t="s">
        <v>283</v>
      </c>
      <c r="B39" s="280" t="str">
        <f>B7</f>
        <v>: 30 JUNE 2026</v>
      </c>
      <c r="C39" s="261"/>
      <c r="D39" s="270"/>
      <c r="E39" s="269" t="s">
        <v>283</v>
      </c>
      <c r="F39" s="280" t="str">
        <f>B7</f>
        <v>: 30 JUNE 2026</v>
      </c>
      <c r="G39" s="261"/>
      <c r="H39" s="270"/>
    </row>
    <row r="40" spans="1:8" ht="15" customHeight="1">
      <c r="A40" s="269" t="s">
        <v>284</v>
      </c>
      <c r="B40" s="281" t="str">
        <f>B8</f>
        <v>: 06/11/2026 - 06/25/2026</v>
      </c>
      <c r="C40" s="261"/>
      <c r="D40" s="270"/>
      <c r="E40" s="269" t="s">
        <v>284</v>
      </c>
      <c r="F40" s="281" t="str">
        <f>B8</f>
        <v>: 06/11/2026 - 06/25/2026</v>
      </c>
      <c r="G40" s="261"/>
      <c r="H40" s="270"/>
    </row>
    <row r="41" spans="1:8" ht="15" customHeight="1">
      <c r="A41" s="269" t="s">
        <v>285</v>
      </c>
      <c r="B41" s="281" t="s">
        <v>391</v>
      </c>
      <c r="C41" s="261"/>
      <c r="D41" s="270"/>
      <c r="E41" s="269" t="s">
        <v>285</v>
      </c>
      <c r="F41" s="281" t="s">
        <v>391</v>
      </c>
      <c r="G41" s="261"/>
      <c r="H41" s="270"/>
    </row>
    <row r="42" spans="1:8" ht="15" customHeight="1">
      <c r="A42" s="269" t="s">
        <v>286</v>
      </c>
      <c r="B42" s="280" t="s">
        <v>394</v>
      </c>
      <c r="C42" s="261"/>
      <c r="D42" s="270"/>
      <c r="E42" s="269" t="s">
        <v>286</v>
      </c>
      <c r="F42" s="280" t="s">
        <v>416</v>
      </c>
      <c r="G42" s="261"/>
      <c r="H42" s="270"/>
    </row>
    <row r="43" spans="1:8" ht="15" customHeight="1">
      <c r="A43" s="569" t="s">
        <v>287</v>
      </c>
      <c r="B43" s="570"/>
      <c r="C43" s="574" t="s">
        <v>288</v>
      </c>
      <c r="D43" s="575"/>
      <c r="E43" s="569" t="s">
        <v>287</v>
      </c>
      <c r="F43" s="570"/>
      <c r="G43" s="574" t="s">
        <v>288</v>
      </c>
      <c r="H43" s="575"/>
    </row>
    <row r="44" spans="1:8" ht="15" customHeight="1">
      <c r="A44" s="271" t="s">
        <v>289</v>
      </c>
      <c r="B44" s="307">
        <v>14250</v>
      </c>
      <c r="C44" s="272" t="s">
        <v>149</v>
      </c>
      <c r="D44" s="293">
        <v>513.75</v>
      </c>
      <c r="E44" s="271" t="s">
        <v>289</v>
      </c>
      <c r="F44" s="307">
        <f>'SEPT 30'!D22</f>
        <v>8532.4161057692327</v>
      </c>
      <c r="G44" s="272" t="s">
        <v>149</v>
      </c>
      <c r="H44" s="293">
        <v>0</v>
      </c>
    </row>
    <row r="45" spans="1:8" ht="15" customHeight="1">
      <c r="A45" s="273" t="s">
        <v>291</v>
      </c>
      <c r="B45" s="289">
        <v>7442.5</v>
      </c>
      <c r="C45" s="272" t="s">
        <v>293</v>
      </c>
      <c r="D45" s="308">
        <v>3169.87</v>
      </c>
      <c r="E45" s="273" t="s">
        <v>291</v>
      </c>
      <c r="F45" s="289">
        <v>0</v>
      </c>
      <c r="G45" s="272" t="s">
        <v>293</v>
      </c>
      <c r="H45" s="293">
        <v>0</v>
      </c>
    </row>
    <row r="46" spans="1:8" ht="15" customHeight="1">
      <c r="A46" s="273" t="s">
        <v>297</v>
      </c>
      <c r="B46" s="289">
        <v>0</v>
      </c>
      <c r="C46" s="272" t="s">
        <v>146</v>
      </c>
      <c r="D46" s="314">
        <v>1225</v>
      </c>
      <c r="E46" s="273" t="s">
        <v>297</v>
      </c>
      <c r="F46" s="289">
        <f>'SEPT 30'!G22</f>
        <v>0</v>
      </c>
      <c r="G46" s="272" t="s">
        <v>146</v>
      </c>
      <c r="H46" s="293">
        <v>850</v>
      </c>
    </row>
    <row r="47" spans="1:8" ht="15" customHeight="1">
      <c r="A47" s="273" t="s">
        <v>187</v>
      </c>
      <c r="B47" s="289">
        <v>0</v>
      </c>
      <c r="C47" s="272" t="s">
        <v>314</v>
      </c>
      <c r="D47" s="293">
        <v>0</v>
      </c>
      <c r="E47" s="273" t="s">
        <v>187</v>
      </c>
      <c r="F47" s="289">
        <f>'SEPT 30'!H22</f>
        <v>0</v>
      </c>
      <c r="G47" s="272" t="s">
        <v>314</v>
      </c>
      <c r="H47" s="293">
        <v>0</v>
      </c>
    </row>
    <row r="48" spans="1:8" ht="15" customHeight="1">
      <c r="A48" s="273" t="s">
        <v>298</v>
      </c>
      <c r="B48" s="289">
        <v>0</v>
      </c>
      <c r="C48" s="272" t="s">
        <v>294</v>
      </c>
      <c r="D48" s="293">
        <v>0</v>
      </c>
      <c r="E48" s="273" t="s">
        <v>298</v>
      </c>
      <c r="F48" s="289">
        <v>0</v>
      </c>
      <c r="G48" s="272" t="s">
        <v>294</v>
      </c>
      <c r="H48" s="293">
        <v>0</v>
      </c>
    </row>
    <row r="49" spans="1:8" ht="15" customHeight="1">
      <c r="A49" s="282"/>
      <c r="B49" s="290"/>
      <c r="C49" s="272" t="s">
        <v>50</v>
      </c>
      <c r="D49" s="293">
        <v>0</v>
      </c>
      <c r="E49" s="282"/>
      <c r="F49" s="283"/>
      <c r="G49" s="272" t="s">
        <v>50</v>
      </c>
      <c r="H49" s="293">
        <v>0</v>
      </c>
    </row>
    <row r="50" spans="1:8" ht="15" customHeight="1">
      <c r="A50" s="282"/>
      <c r="B50" s="290"/>
      <c r="C50" s="272" t="s">
        <v>317</v>
      </c>
      <c r="D50" s="293">
        <v>0</v>
      </c>
      <c r="E50" s="282"/>
      <c r="F50" s="283"/>
      <c r="G50" s="272" t="s">
        <v>317</v>
      </c>
      <c r="H50" s="293">
        <v>0</v>
      </c>
    </row>
    <row r="51" spans="1:8" ht="15" customHeight="1">
      <c r="A51" s="316" t="s">
        <v>319</v>
      </c>
      <c r="B51" s="290"/>
      <c r="C51" s="272" t="s">
        <v>315</v>
      </c>
      <c r="D51" s="293">
        <v>0</v>
      </c>
      <c r="E51" s="316" t="s">
        <v>319</v>
      </c>
      <c r="F51" s="309">
        <f>'SEPT 30'!E22</f>
        <v>570.18209214743604</v>
      </c>
      <c r="G51" s="272" t="s">
        <v>315</v>
      </c>
      <c r="H51" s="293">
        <v>0</v>
      </c>
    </row>
    <row r="52" spans="1:8" ht="15" customHeight="1">
      <c r="A52" s="284"/>
      <c r="B52" s="291"/>
      <c r="C52" s="272" t="s">
        <v>365</v>
      </c>
      <c r="D52" s="293">
        <v>100</v>
      </c>
      <c r="E52" s="284"/>
      <c r="F52" s="285"/>
      <c r="G52" s="272" t="s">
        <v>365</v>
      </c>
      <c r="H52" s="293">
        <v>100</v>
      </c>
    </row>
    <row r="53" spans="1:8" ht="15" customHeight="1">
      <c r="A53" s="286"/>
      <c r="B53" s="287"/>
      <c r="C53" s="262" t="s">
        <v>290</v>
      </c>
      <c r="D53" s="315">
        <f>'SEPT 30'!L11</f>
        <v>0</v>
      </c>
      <c r="E53" s="286"/>
      <c r="F53" s="288"/>
      <c r="G53" s="276"/>
      <c r="H53" s="277"/>
    </row>
    <row r="54" spans="1:8" ht="15" customHeight="1">
      <c r="A54" s="275" t="s">
        <v>295</v>
      </c>
      <c r="B54" s="278">
        <f>SUM(B44:B53)</f>
        <v>21692.5</v>
      </c>
      <c r="C54" s="263" t="s">
        <v>296</v>
      </c>
      <c r="D54" s="279">
        <f>SUM(D44:D53)</f>
        <v>5008.62</v>
      </c>
      <c r="E54" s="275" t="s">
        <v>295</v>
      </c>
      <c r="F54" s="278">
        <f>SUM(F44:F48)-F51</f>
        <v>7962.2340136217963</v>
      </c>
      <c r="G54" s="263" t="s">
        <v>296</v>
      </c>
      <c r="H54" s="279">
        <f>SUM(H44:H53)</f>
        <v>950</v>
      </c>
    </row>
    <row r="55" spans="1:8" ht="15" customHeight="1">
      <c r="A55" s="571" t="s">
        <v>48</v>
      </c>
      <c r="B55" s="571"/>
      <c r="C55" s="572">
        <f>B54-D54</f>
        <v>16683.88</v>
      </c>
      <c r="D55" s="573"/>
      <c r="E55" s="571" t="s">
        <v>48</v>
      </c>
      <c r="F55" s="571"/>
      <c r="G55" s="572">
        <f>F54-H54</f>
        <v>7012.2340136217963</v>
      </c>
      <c r="H55" s="573"/>
    </row>
    <row r="56" spans="1:8" ht="15" customHeight="1">
      <c r="A56" s="304"/>
      <c r="B56" s="304"/>
      <c r="C56" s="305"/>
      <c r="D56" s="306"/>
    </row>
    <row r="57" spans="1:8" ht="15" customHeight="1">
      <c r="A57" s="364" t="s">
        <v>246</v>
      </c>
      <c r="B57" s="364"/>
      <c r="C57" s="364" t="s">
        <v>247</v>
      </c>
      <c r="D57" s="364"/>
      <c r="E57" s="364" t="s">
        <v>246</v>
      </c>
      <c r="F57" s="364"/>
      <c r="G57" s="364" t="s">
        <v>247</v>
      </c>
      <c r="H57" s="364"/>
    </row>
    <row r="58" spans="1:8" ht="15" customHeight="1">
      <c r="A58" s="364"/>
      <c r="B58" s="364"/>
      <c r="C58" s="364"/>
      <c r="D58" s="364"/>
      <c r="E58" s="364"/>
      <c r="F58" s="364"/>
      <c r="G58" s="364"/>
      <c r="H58" s="364"/>
    </row>
    <row r="59" spans="1:8" ht="15" customHeight="1">
      <c r="A59" s="414" t="s">
        <v>249</v>
      </c>
      <c r="B59" s="364"/>
      <c r="C59" s="414" t="s">
        <v>142</v>
      </c>
      <c r="D59" s="364"/>
      <c r="E59" s="414" t="s">
        <v>249</v>
      </c>
      <c r="F59" s="364"/>
      <c r="G59" s="414" t="s">
        <v>142</v>
      </c>
      <c r="H59" s="364"/>
    </row>
    <row r="60" spans="1:8" ht="15" customHeight="1">
      <c r="A60" s="364" t="s">
        <v>208</v>
      </c>
      <c r="B60" s="364"/>
      <c r="C60" s="364" t="s">
        <v>393</v>
      </c>
      <c r="D60" s="364"/>
      <c r="E60" s="364" t="s">
        <v>208</v>
      </c>
      <c r="F60" s="364"/>
      <c r="G60" s="364" t="s">
        <v>393</v>
      </c>
      <c r="H60" s="364"/>
    </row>
    <row r="61" spans="1:8" ht="15" customHeight="1">
      <c r="A61" s="304"/>
      <c r="B61" s="304"/>
      <c r="C61" s="305"/>
      <c r="D61" s="306"/>
    </row>
    <row r="62" spans="1:8" ht="15" customHeight="1">
      <c r="A62" s="304"/>
      <c r="B62" s="304"/>
      <c r="C62" s="305"/>
      <c r="D62" s="306"/>
    </row>
    <row r="63" spans="1:8" ht="15" customHeight="1">
      <c r="A63" s="264"/>
      <c r="B63" s="265"/>
      <c r="C63" s="265"/>
      <c r="D63" s="266"/>
      <c r="E63" s="264"/>
      <c r="F63" s="265"/>
      <c r="G63" s="265"/>
      <c r="H63" s="266"/>
    </row>
    <row r="64" spans="1:8" ht="15" customHeight="1">
      <c r="A64" s="267"/>
      <c r="D64" s="268"/>
      <c r="E64" s="267"/>
      <c r="H64" s="268"/>
    </row>
    <row r="65" spans="1:8" ht="15" customHeight="1">
      <c r="A65" s="267"/>
      <c r="D65" s="268"/>
      <c r="E65" s="267"/>
      <c r="H65" s="268"/>
    </row>
    <row r="66" spans="1:8" ht="15" customHeight="1">
      <c r="A66" s="267"/>
      <c r="D66" s="268"/>
      <c r="E66" s="267"/>
      <c r="H66" s="268"/>
    </row>
    <row r="67" spans="1:8" ht="15" customHeight="1">
      <c r="A67" s="267"/>
      <c r="D67" s="268"/>
      <c r="E67" s="267"/>
      <c r="H67" s="268"/>
    </row>
    <row r="68" spans="1:8" ht="15" customHeight="1">
      <c r="A68" s="269" t="s">
        <v>36</v>
      </c>
      <c r="B68" s="280" t="s">
        <v>411</v>
      </c>
      <c r="C68" s="261"/>
      <c r="D68" s="270"/>
      <c r="E68" s="269" t="s">
        <v>36</v>
      </c>
      <c r="F68" s="281" t="s">
        <v>413</v>
      </c>
      <c r="G68" s="261"/>
      <c r="H68" s="270"/>
    </row>
    <row r="69" spans="1:8" ht="15" customHeight="1">
      <c r="A69" s="269" t="s">
        <v>283</v>
      </c>
      <c r="B69" s="280" t="str">
        <f>B7</f>
        <v>: 30 JUNE 2026</v>
      </c>
      <c r="C69" s="261"/>
      <c r="D69" s="270"/>
      <c r="E69" s="269" t="s">
        <v>283</v>
      </c>
      <c r="F69" s="280" t="str">
        <f>B7</f>
        <v>: 30 JUNE 2026</v>
      </c>
      <c r="G69" s="261"/>
      <c r="H69" s="270"/>
    </row>
    <row r="70" spans="1:8" ht="15" customHeight="1">
      <c r="A70" s="269" t="s">
        <v>284</v>
      </c>
      <c r="B70" s="281" t="str">
        <f>B8</f>
        <v>: 06/11/2026 - 06/25/2026</v>
      </c>
      <c r="C70" s="261"/>
      <c r="D70" s="270"/>
      <c r="E70" s="269" t="s">
        <v>284</v>
      </c>
      <c r="F70" s="281" t="str">
        <f>B8</f>
        <v>: 06/11/2026 - 06/25/2026</v>
      </c>
      <c r="G70" s="261"/>
      <c r="H70" s="270"/>
    </row>
    <row r="71" spans="1:8" ht="15" customHeight="1">
      <c r="A71" s="269" t="s">
        <v>285</v>
      </c>
      <c r="B71" s="281" t="s">
        <v>391</v>
      </c>
      <c r="C71" s="261"/>
      <c r="D71" s="270"/>
      <c r="E71" s="269" t="s">
        <v>285</v>
      </c>
      <c r="F71" s="281" t="s">
        <v>391</v>
      </c>
      <c r="G71" s="261"/>
      <c r="H71" s="270"/>
    </row>
    <row r="72" spans="1:8" ht="15" customHeight="1">
      <c r="A72" s="269" t="s">
        <v>286</v>
      </c>
      <c r="B72" s="280" t="s">
        <v>412</v>
      </c>
      <c r="C72" s="261"/>
      <c r="D72" s="270"/>
      <c r="E72" s="269" t="s">
        <v>286</v>
      </c>
      <c r="F72" s="280" t="s">
        <v>414</v>
      </c>
      <c r="G72" s="261"/>
      <c r="H72" s="270"/>
    </row>
    <row r="73" spans="1:8" ht="15" customHeight="1">
      <c r="A73" s="569" t="s">
        <v>287</v>
      </c>
      <c r="B73" s="570"/>
      <c r="C73" s="574" t="s">
        <v>288</v>
      </c>
      <c r="D73" s="575"/>
      <c r="E73" s="569" t="s">
        <v>287</v>
      </c>
      <c r="F73" s="570"/>
      <c r="G73" s="574" t="s">
        <v>288</v>
      </c>
      <c r="H73" s="575"/>
    </row>
    <row r="74" spans="1:8" ht="15" customHeight="1">
      <c r="A74" s="271" t="s">
        <v>289</v>
      </c>
      <c r="B74" s="307">
        <f>'SEPT 30'!D45</f>
        <v>10201.620000000001</v>
      </c>
      <c r="C74" s="272" t="s">
        <v>149</v>
      </c>
      <c r="D74" s="293">
        <v>0</v>
      </c>
      <c r="E74" s="271" t="s">
        <v>289</v>
      </c>
      <c r="F74" s="309">
        <f>'SEPT 30'!D20</f>
        <v>8661.8286057692294</v>
      </c>
      <c r="G74" s="272" t="s">
        <v>149</v>
      </c>
      <c r="H74" s="293">
        <v>0</v>
      </c>
    </row>
    <row r="75" spans="1:8" ht="15" customHeight="1">
      <c r="A75" s="273" t="s">
        <v>291</v>
      </c>
      <c r="B75" s="289">
        <v>1500</v>
      </c>
      <c r="C75" s="272" t="s">
        <v>293</v>
      </c>
      <c r="D75" s="293">
        <v>0</v>
      </c>
      <c r="E75" s="273" t="s">
        <v>291</v>
      </c>
      <c r="F75" s="289">
        <v>0</v>
      </c>
      <c r="G75" s="272" t="s">
        <v>293</v>
      </c>
      <c r="H75" s="293">
        <v>750</v>
      </c>
    </row>
    <row r="76" spans="1:8" ht="15" customHeight="1">
      <c r="A76" s="273" t="s">
        <v>297</v>
      </c>
      <c r="B76" s="289">
        <f>'SEPT 30'!G45</f>
        <v>0</v>
      </c>
      <c r="C76" s="272" t="s">
        <v>146</v>
      </c>
      <c r="D76" s="293">
        <v>1025</v>
      </c>
      <c r="E76" s="273" t="s">
        <v>297</v>
      </c>
      <c r="F76" s="289">
        <f>'SEPT 30'!G20</f>
        <v>1237.4040865384613</v>
      </c>
      <c r="G76" s="272" t="s">
        <v>146</v>
      </c>
      <c r="H76" s="293">
        <v>875</v>
      </c>
    </row>
    <row r="77" spans="1:8" ht="15" customHeight="1">
      <c r="A77" s="273" t="s">
        <v>187</v>
      </c>
      <c r="B77" s="289">
        <f>'SEPT 30'!H45</f>
        <v>0</v>
      </c>
      <c r="C77" s="272" t="s">
        <v>314</v>
      </c>
      <c r="D77" s="293">
        <v>1000</v>
      </c>
      <c r="E77" s="273" t="s">
        <v>187</v>
      </c>
      <c r="F77" s="289">
        <f>'SEPT 30'!H20</f>
        <v>0</v>
      </c>
      <c r="G77" s="272" t="s">
        <v>314</v>
      </c>
      <c r="H77" s="293">
        <v>0</v>
      </c>
    </row>
    <row r="78" spans="1:8" ht="15" customHeight="1">
      <c r="A78" s="273" t="s">
        <v>298</v>
      </c>
      <c r="B78" s="289">
        <v>0</v>
      </c>
      <c r="C78" s="272" t="s">
        <v>294</v>
      </c>
      <c r="D78" s="293">
        <v>0</v>
      </c>
      <c r="E78" s="273" t="s">
        <v>298</v>
      </c>
      <c r="F78" s="289">
        <v>0</v>
      </c>
      <c r="G78" s="272" t="s">
        <v>294</v>
      </c>
      <c r="H78" s="293">
        <v>0</v>
      </c>
    </row>
    <row r="79" spans="1:8" ht="15" customHeight="1">
      <c r="A79" s="282"/>
      <c r="B79" s="290"/>
      <c r="C79" s="272" t="s">
        <v>50</v>
      </c>
      <c r="D79" s="293">
        <v>0</v>
      </c>
      <c r="E79" s="282"/>
      <c r="F79" s="283"/>
      <c r="G79" s="272" t="s">
        <v>50</v>
      </c>
      <c r="H79" s="293">
        <v>0</v>
      </c>
    </row>
    <row r="80" spans="1:8" ht="15" customHeight="1">
      <c r="A80" s="282"/>
      <c r="B80" s="283"/>
      <c r="C80" s="272" t="s">
        <v>317</v>
      </c>
      <c r="D80" s="293">
        <v>0</v>
      </c>
      <c r="E80" s="282"/>
      <c r="F80" s="283"/>
      <c r="G80" s="272" t="s">
        <v>317</v>
      </c>
      <c r="H80" s="293">
        <v>0</v>
      </c>
    </row>
    <row r="81" spans="1:8" ht="15" customHeight="1">
      <c r="A81" s="316" t="s">
        <v>319</v>
      </c>
      <c r="B81" s="309">
        <f>'SEPT 30'!E45</f>
        <v>0</v>
      </c>
      <c r="C81" s="272" t="s">
        <v>315</v>
      </c>
      <c r="D81" s="293">
        <v>0</v>
      </c>
      <c r="E81" s="316" t="s">
        <v>319</v>
      </c>
      <c r="F81" s="309">
        <f>'SEPT 30'!E20</f>
        <v>46.746376602564098</v>
      </c>
      <c r="G81" s="272" t="s">
        <v>315</v>
      </c>
      <c r="H81" s="293">
        <v>0</v>
      </c>
    </row>
    <row r="82" spans="1:8" ht="15" customHeight="1">
      <c r="A82" s="284"/>
      <c r="B82" s="285"/>
      <c r="C82" s="272" t="s">
        <v>365</v>
      </c>
      <c r="D82" s="293">
        <v>100</v>
      </c>
      <c r="E82" s="284"/>
      <c r="F82" s="309"/>
      <c r="G82" s="272" t="s">
        <v>365</v>
      </c>
      <c r="H82" s="293">
        <v>100</v>
      </c>
    </row>
    <row r="83" spans="1:8" ht="15" customHeight="1">
      <c r="A83" s="286"/>
      <c r="B83" s="288"/>
      <c r="C83" s="276"/>
      <c r="D83" s="277"/>
      <c r="E83" s="286"/>
      <c r="F83" s="287"/>
      <c r="G83" s="262"/>
      <c r="H83" s="274"/>
    </row>
    <row r="84" spans="1:8" ht="15" customHeight="1">
      <c r="A84" s="275" t="s">
        <v>295</v>
      </c>
      <c r="B84" s="278">
        <f>SUM(B74:B78)-B81</f>
        <v>11701.62</v>
      </c>
      <c r="C84" s="263" t="s">
        <v>296</v>
      </c>
      <c r="D84" s="279">
        <f>SUM(D74:D83)</f>
        <v>2125</v>
      </c>
      <c r="E84" s="275" t="s">
        <v>295</v>
      </c>
      <c r="F84" s="278">
        <f>SUM(F74:F78)-F81</f>
        <v>9852.4863157051259</v>
      </c>
      <c r="G84" s="263" t="s">
        <v>296</v>
      </c>
      <c r="H84" s="279">
        <f>SUM(H74:H83)</f>
        <v>1725</v>
      </c>
    </row>
    <row r="85" spans="1:8" ht="15" customHeight="1">
      <c r="A85" s="571" t="s">
        <v>48</v>
      </c>
      <c r="B85" s="571"/>
      <c r="C85" s="572">
        <f>B84-D84</f>
        <v>9576.6200000000008</v>
      </c>
      <c r="D85" s="573"/>
      <c r="E85" s="571" t="s">
        <v>48</v>
      </c>
      <c r="F85" s="571"/>
      <c r="G85" s="572">
        <f>F84-H84</f>
        <v>8127.4863157051259</v>
      </c>
      <c r="H85" s="573"/>
    </row>
    <row r="86" spans="1:8" ht="15" customHeight="1">
      <c r="E86" s="304"/>
      <c r="F86" s="304"/>
      <c r="G86" s="305"/>
      <c r="H86" s="306"/>
    </row>
    <row r="87" spans="1:8" ht="15" customHeight="1">
      <c r="A87" s="364" t="s">
        <v>246</v>
      </c>
      <c r="B87" s="364"/>
      <c r="C87" s="364" t="s">
        <v>247</v>
      </c>
      <c r="D87" s="364"/>
      <c r="E87" s="364" t="s">
        <v>246</v>
      </c>
      <c r="F87" s="364"/>
      <c r="G87" s="364" t="s">
        <v>247</v>
      </c>
      <c r="H87" s="364"/>
    </row>
    <row r="88" spans="1:8" ht="15" customHeight="1">
      <c r="A88" s="364"/>
      <c r="B88" s="364"/>
      <c r="C88" s="364"/>
      <c r="D88" s="364"/>
      <c r="E88" s="364"/>
      <c r="F88" s="364"/>
      <c r="G88" s="364"/>
      <c r="H88" s="364"/>
    </row>
    <row r="89" spans="1:8" ht="15" customHeight="1">
      <c r="A89" s="414" t="s">
        <v>249</v>
      </c>
      <c r="B89" s="364"/>
      <c r="C89" s="414" t="s">
        <v>142</v>
      </c>
      <c r="D89" s="364"/>
      <c r="E89" s="414" t="s">
        <v>249</v>
      </c>
      <c r="F89" s="364"/>
      <c r="G89" s="414" t="s">
        <v>142</v>
      </c>
      <c r="H89" s="364"/>
    </row>
    <row r="90" spans="1:8" ht="15" customHeight="1">
      <c r="A90" s="364" t="s">
        <v>208</v>
      </c>
      <c r="B90" s="364"/>
      <c r="C90" s="364" t="s">
        <v>393</v>
      </c>
      <c r="D90" s="364"/>
      <c r="E90" s="364" t="s">
        <v>208</v>
      </c>
      <c r="F90" s="364"/>
      <c r="G90" s="364" t="s">
        <v>393</v>
      </c>
      <c r="H90" s="364"/>
    </row>
    <row r="91" spans="1:8" ht="15" customHeight="1">
      <c r="E91" s="304"/>
      <c r="F91" s="304"/>
      <c r="G91" s="305"/>
      <c r="H91" s="306"/>
    </row>
    <row r="92" spans="1:8" ht="15" customHeight="1">
      <c r="E92" s="304"/>
      <c r="F92" s="304"/>
      <c r="G92" s="305"/>
      <c r="H92" s="306"/>
    </row>
    <row r="93" spans="1:8" ht="15" customHeight="1">
      <c r="E93" s="304"/>
      <c r="F93" s="304"/>
      <c r="G93" s="305"/>
      <c r="H93" s="306"/>
    </row>
    <row r="94" spans="1:8" ht="15" customHeight="1">
      <c r="E94" s="304"/>
      <c r="F94" s="304"/>
      <c r="G94" s="305"/>
      <c r="H94" s="306"/>
    </row>
    <row r="95" spans="1:8" ht="15" customHeight="1">
      <c r="A95" s="264"/>
      <c r="B95" s="265"/>
      <c r="C95" s="265"/>
      <c r="D95" s="266"/>
      <c r="E95" s="264"/>
      <c r="F95" s="265"/>
      <c r="G95" s="265"/>
      <c r="H95" s="266"/>
    </row>
    <row r="96" spans="1:8" ht="15" customHeight="1">
      <c r="A96" s="267"/>
      <c r="D96" s="268"/>
      <c r="E96" s="267"/>
      <c r="H96" s="268"/>
    </row>
    <row r="97" spans="1:8" ht="15" customHeight="1">
      <c r="A97" s="267"/>
      <c r="D97" s="268"/>
      <c r="E97" s="267"/>
      <c r="H97" s="268"/>
    </row>
    <row r="98" spans="1:8" ht="15" customHeight="1">
      <c r="A98" s="267"/>
      <c r="D98" s="268"/>
      <c r="E98" s="267"/>
      <c r="H98" s="268"/>
    </row>
    <row r="99" spans="1:8" ht="15" customHeight="1">
      <c r="A99" s="267"/>
      <c r="D99" s="268"/>
      <c r="E99" s="267"/>
      <c r="H99" s="268"/>
    </row>
    <row r="100" spans="1:8" ht="15" customHeight="1">
      <c r="A100" s="269" t="s">
        <v>36</v>
      </c>
      <c r="B100" s="281" t="s">
        <v>303</v>
      </c>
      <c r="C100" s="261"/>
      <c r="D100" s="270"/>
      <c r="E100" s="269" t="s">
        <v>36</v>
      </c>
      <c r="F100" s="280" t="s">
        <v>408</v>
      </c>
      <c r="G100" s="261"/>
      <c r="H100" s="270"/>
    </row>
    <row r="101" spans="1:8" ht="15" customHeight="1">
      <c r="A101" s="269" t="s">
        <v>283</v>
      </c>
      <c r="B101" s="280" t="str">
        <f>B7</f>
        <v>: 30 JUNE 2026</v>
      </c>
      <c r="C101" s="261"/>
      <c r="D101" s="270"/>
      <c r="E101" s="269" t="s">
        <v>283</v>
      </c>
      <c r="F101" s="280" t="str">
        <f>B7</f>
        <v>: 30 JUNE 2026</v>
      </c>
      <c r="G101" s="261"/>
      <c r="H101" s="270"/>
    </row>
    <row r="102" spans="1:8" ht="15" customHeight="1">
      <c r="A102" s="269" t="s">
        <v>284</v>
      </c>
      <c r="B102" s="281" t="str">
        <f>B8</f>
        <v>: 06/11/2026 - 06/25/2026</v>
      </c>
      <c r="C102" s="261"/>
      <c r="D102" s="270"/>
      <c r="E102" s="269" t="s">
        <v>284</v>
      </c>
      <c r="F102" s="281" t="str">
        <f>B8</f>
        <v>: 06/11/2026 - 06/25/2026</v>
      </c>
      <c r="G102" s="261"/>
      <c r="H102" s="270"/>
    </row>
    <row r="103" spans="1:8" ht="15" customHeight="1">
      <c r="A103" s="269" t="s">
        <v>285</v>
      </c>
      <c r="B103" s="280" t="s">
        <v>304</v>
      </c>
      <c r="C103" s="261"/>
      <c r="D103" s="270"/>
      <c r="E103" s="269" t="s">
        <v>285</v>
      </c>
      <c r="F103" s="280" t="s">
        <v>304</v>
      </c>
      <c r="G103" s="261"/>
      <c r="H103" s="270"/>
    </row>
    <row r="104" spans="1:8" ht="15" customHeight="1">
      <c r="A104" s="269" t="s">
        <v>286</v>
      </c>
      <c r="B104" s="280" t="s">
        <v>410</v>
      </c>
      <c r="C104" s="261"/>
      <c r="D104" s="270"/>
      <c r="E104" s="269" t="s">
        <v>286</v>
      </c>
      <c r="F104" s="280" t="s">
        <v>409</v>
      </c>
      <c r="G104" s="261"/>
      <c r="H104" s="270"/>
    </row>
    <row r="105" spans="1:8" ht="15" customHeight="1">
      <c r="A105" s="569" t="s">
        <v>287</v>
      </c>
      <c r="B105" s="570"/>
      <c r="C105" s="574" t="s">
        <v>288</v>
      </c>
      <c r="D105" s="575"/>
      <c r="E105" s="569" t="s">
        <v>287</v>
      </c>
      <c r="F105" s="570"/>
      <c r="G105" s="574" t="s">
        <v>288</v>
      </c>
      <c r="H105" s="575"/>
    </row>
    <row r="106" spans="1:8" ht="15" customHeight="1">
      <c r="A106" s="271" t="s">
        <v>289</v>
      </c>
      <c r="B106" s="307">
        <f>'SEPT 30'!D32</f>
        <v>8579.3349999999991</v>
      </c>
      <c r="C106" s="272" t="s">
        <v>149</v>
      </c>
      <c r="D106" s="293">
        <v>0</v>
      </c>
      <c r="E106" s="271" t="s">
        <v>289</v>
      </c>
      <c r="F106" s="307">
        <f>'SEPT 30'!D34</f>
        <v>6000</v>
      </c>
      <c r="G106" s="272" t="s">
        <v>149</v>
      </c>
      <c r="H106" s="293">
        <v>500</v>
      </c>
    </row>
    <row r="107" spans="1:8" ht="15" customHeight="1">
      <c r="A107" s="273" t="s">
        <v>291</v>
      </c>
      <c r="B107" s="289">
        <v>1500</v>
      </c>
      <c r="C107" s="272" t="s">
        <v>293</v>
      </c>
      <c r="D107" s="293">
        <v>0</v>
      </c>
      <c r="E107" s="273" t="s">
        <v>291</v>
      </c>
      <c r="F107" s="289">
        <v>0</v>
      </c>
      <c r="G107" s="272" t="s">
        <v>293</v>
      </c>
      <c r="H107" s="293">
        <v>0</v>
      </c>
    </row>
    <row r="108" spans="1:8" ht="15" customHeight="1">
      <c r="A108" s="273" t="s">
        <v>297</v>
      </c>
      <c r="B108" s="289">
        <f>'SEPT 30'!G32</f>
        <v>0</v>
      </c>
      <c r="C108" s="272" t="s">
        <v>146</v>
      </c>
      <c r="D108" s="293">
        <v>875</v>
      </c>
      <c r="E108" s="273" t="s">
        <v>297</v>
      </c>
      <c r="F108" s="289">
        <f>'SEPT 30'!G34</f>
        <v>312.5</v>
      </c>
      <c r="G108" s="272" t="s">
        <v>146</v>
      </c>
      <c r="H108" s="293">
        <v>650</v>
      </c>
    </row>
    <row r="109" spans="1:8" ht="15" customHeight="1">
      <c r="A109" s="273" t="s">
        <v>187</v>
      </c>
      <c r="B109" s="289">
        <f>'SEPT 30'!H32</f>
        <v>0</v>
      </c>
      <c r="C109" s="272" t="s">
        <v>314</v>
      </c>
      <c r="D109" s="293">
        <v>750</v>
      </c>
      <c r="E109" s="273" t="s">
        <v>187</v>
      </c>
      <c r="F109" s="289">
        <f>'SEPT 30'!H34</f>
        <v>0</v>
      </c>
      <c r="G109" s="272" t="s">
        <v>314</v>
      </c>
      <c r="H109" s="293">
        <v>0</v>
      </c>
    </row>
    <row r="110" spans="1:8" ht="15" customHeight="1">
      <c r="A110" s="273" t="s">
        <v>298</v>
      </c>
      <c r="B110" s="289">
        <v>0</v>
      </c>
      <c r="C110" s="272" t="s">
        <v>294</v>
      </c>
      <c r="D110" s="293">
        <v>0</v>
      </c>
      <c r="E110" s="273" t="s">
        <v>298</v>
      </c>
      <c r="F110" s="289">
        <v>0</v>
      </c>
      <c r="G110" s="272" t="s">
        <v>294</v>
      </c>
      <c r="H110" s="293">
        <v>0</v>
      </c>
    </row>
    <row r="111" spans="1:8" ht="15" customHeight="1">
      <c r="A111" s="282"/>
      <c r="B111" s="283"/>
      <c r="C111" s="272" t="s">
        <v>50</v>
      </c>
      <c r="D111" s="293">
        <v>0</v>
      </c>
      <c r="E111" s="282"/>
      <c r="F111" s="283"/>
      <c r="G111" s="272" t="s">
        <v>50</v>
      </c>
      <c r="H111" s="293">
        <v>0</v>
      </c>
    </row>
    <row r="112" spans="1:8" ht="15" customHeight="1">
      <c r="A112" s="282"/>
      <c r="B112" s="283"/>
      <c r="C112" s="272" t="s">
        <v>317</v>
      </c>
      <c r="D112" s="293">
        <v>0</v>
      </c>
      <c r="E112" s="282"/>
      <c r="F112" s="283"/>
      <c r="G112" s="272" t="s">
        <v>317</v>
      </c>
      <c r="H112" s="293">
        <v>0</v>
      </c>
    </row>
    <row r="113" spans="1:8" ht="15" customHeight="1">
      <c r="A113" s="316" t="s">
        <v>319</v>
      </c>
      <c r="B113" s="309">
        <f>'SEPT 30'!E32</f>
        <v>0</v>
      </c>
      <c r="C113" s="272" t="s">
        <v>315</v>
      </c>
      <c r="D113" s="293">
        <v>0</v>
      </c>
      <c r="E113" s="316" t="s">
        <v>319</v>
      </c>
      <c r="F113" s="309">
        <f>'SEPT 30'!E34</f>
        <v>0</v>
      </c>
      <c r="G113" s="272" t="s">
        <v>315</v>
      </c>
      <c r="H113" s="293">
        <v>0</v>
      </c>
    </row>
    <row r="114" spans="1:8" ht="15" customHeight="1">
      <c r="A114" s="284"/>
      <c r="B114" s="285"/>
      <c r="C114" s="272" t="s">
        <v>365</v>
      </c>
      <c r="D114" s="293">
        <v>100</v>
      </c>
      <c r="E114" s="284"/>
      <c r="F114" s="285"/>
      <c r="G114" s="272" t="s">
        <v>365</v>
      </c>
      <c r="H114" s="293">
        <v>100</v>
      </c>
    </row>
    <row r="115" spans="1:8" ht="15" customHeight="1">
      <c r="A115" s="286"/>
      <c r="B115" s="288"/>
      <c r="C115" s="276"/>
      <c r="D115" s="277"/>
      <c r="E115" s="286"/>
      <c r="F115" s="288"/>
      <c r="G115" s="276"/>
      <c r="H115" s="277"/>
    </row>
    <row r="116" spans="1:8" ht="15" customHeight="1">
      <c r="A116" s="275" t="s">
        <v>295</v>
      </c>
      <c r="B116" s="278">
        <f>SUM(B106:B110)-B113</f>
        <v>10079.334999999999</v>
      </c>
      <c r="C116" s="263" t="s">
        <v>296</v>
      </c>
      <c r="D116" s="279">
        <f>SUM(D106:D115)</f>
        <v>1725</v>
      </c>
      <c r="E116" s="275" t="s">
        <v>295</v>
      </c>
      <c r="F116" s="278">
        <f>SUM(F106:F110)-F113</f>
        <v>6312.5</v>
      </c>
      <c r="G116" s="263" t="s">
        <v>296</v>
      </c>
      <c r="H116" s="279">
        <f>SUM(H106:H115)</f>
        <v>1250</v>
      </c>
    </row>
    <row r="117" spans="1:8" ht="15" customHeight="1">
      <c r="A117" s="571" t="s">
        <v>48</v>
      </c>
      <c r="B117" s="571"/>
      <c r="C117" s="572">
        <f>B116-D116</f>
        <v>8354.3349999999991</v>
      </c>
      <c r="D117" s="573"/>
      <c r="E117" s="571" t="s">
        <v>48</v>
      </c>
      <c r="F117" s="571"/>
      <c r="G117" s="572">
        <f>F116-H116</f>
        <v>5062.5</v>
      </c>
      <c r="H117" s="573"/>
    </row>
    <row r="118" spans="1:8" ht="15" customHeight="1">
      <c r="A118" s="304"/>
      <c r="B118" s="304"/>
      <c r="C118" s="305"/>
      <c r="D118" s="306"/>
      <c r="E118" s="304"/>
      <c r="F118" s="304"/>
      <c r="G118" s="305"/>
      <c r="H118" s="306"/>
    </row>
    <row r="119" spans="1:8" ht="15" customHeight="1">
      <c r="A119" s="364" t="s">
        <v>246</v>
      </c>
      <c r="B119" s="364"/>
      <c r="C119" s="364" t="s">
        <v>247</v>
      </c>
      <c r="D119" s="364"/>
      <c r="E119" s="364" t="s">
        <v>246</v>
      </c>
      <c r="F119" s="364"/>
      <c r="G119" s="364" t="s">
        <v>247</v>
      </c>
      <c r="H119" s="364"/>
    </row>
    <row r="120" spans="1:8" ht="15" customHeight="1">
      <c r="A120" s="364"/>
      <c r="B120" s="364"/>
      <c r="C120" s="364"/>
      <c r="D120" s="364"/>
      <c r="E120" s="364"/>
      <c r="F120" s="364"/>
      <c r="G120" s="364"/>
      <c r="H120" s="364"/>
    </row>
    <row r="121" spans="1:8" ht="15" customHeight="1">
      <c r="A121" s="414" t="s">
        <v>249</v>
      </c>
      <c r="B121" s="364"/>
      <c r="C121" s="414" t="s">
        <v>142</v>
      </c>
      <c r="D121" s="364"/>
      <c r="E121" s="414" t="s">
        <v>249</v>
      </c>
      <c r="F121" s="364"/>
      <c r="G121" s="414" t="s">
        <v>142</v>
      </c>
      <c r="H121" s="364"/>
    </row>
    <row r="122" spans="1:8" ht="15" customHeight="1">
      <c r="A122" s="364" t="s">
        <v>208</v>
      </c>
      <c r="B122" s="364"/>
      <c r="C122" s="364" t="s">
        <v>393</v>
      </c>
      <c r="D122" s="364"/>
      <c r="E122" s="364" t="s">
        <v>208</v>
      </c>
      <c r="F122" s="364"/>
      <c r="G122" s="364" t="s">
        <v>393</v>
      </c>
      <c r="H122" s="364"/>
    </row>
    <row r="123" spans="1:8" ht="15" customHeight="1">
      <c r="A123" s="304"/>
      <c r="B123" s="304"/>
      <c r="C123" s="305"/>
      <c r="D123" s="306"/>
      <c r="E123" s="304"/>
      <c r="F123" s="304"/>
      <c r="G123" s="305"/>
      <c r="H123" s="306"/>
    </row>
    <row r="124" spans="1:8" ht="15" customHeight="1">
      <c r="A124" s="304"/>
      <c r="B124" s="304"/>
      <c r="C124" s="305"/>
      <c r="D124" s="306"/>
      <c r="E124" s="304"/>
      <c r="F124" s="304"/>
      <c r="G124" s="305"/>
      <c r="H124" s="306"/>
    </row>
    <row r="125" spans="1:8" ht="15" customHeight="1">
      <c r="A125" s="264"/>
      <c r="B125" s="265"/>
      <c r="C125" s="265"/>
      <c r="D125" s="266"/>
      <c r="E125" s="264"/>
      <c r="F125" s="265"/>
      <c r="G125" s="265"/>
      <c r="H125" s="266"/>
    </row>
    <row r="126" spans="1:8" ht="15" customHeight="1">
      <c r="A126" s="267"/>
      <c r="D126" s="268"/>
      <c r="E126" s="267"/>
      <c r="H126" s="268"/>
    </row>
    <row r="127" spans="1:8" ht="15" customHeight="1">
      <c r="A127" s="267"/>
      <c r="D127" s="268"/>
      <c r="E127" s="267"/>
      <c r="H127" s="268"/>
    </row>
    <row r="128" spans="1:8" ht="15" customHeight="1">
      <c r="A128" s="267"/>
      <c r="D128" s="268"/>
      <c r="E128" s="267"/>
      <c r="H128" s="268"/>
    </row>
    <row r="129" spans="1:8" ht="15" customHeight="1">
      <c r="A129" s="267"/>
      <c r="D129" s="268"/>
      <c r="E129" s="267"/>
      <c r="H129" s="268"/>
    </row>
    <row r="130" spans="1:8" ht="15" customHeight="1">
      <c r="A130" s="269" t="s">
        <v>36</v>
      </c>
      <c r="B130" s="280" t="s">
        <v>404</v>
      </c>
      <c r="C130" s="261"/>
      <c r="D130" s="270"/>
      <c r="E130" s="269" t="s">
        <v>36</v>
      </c>
      <c r="F130" s="280" t="s">
        <v>407</v>
      </c>
      <c r="G130" s="261"/>
      <c r="H130" s="270"/>
    </row>
    <row r="131" spans="1:8" ht="15" customHeight="1">
      <c r="A131" s="269" t="s">
        <v>283</v>
      </c>
      <c r="B131" s="280" t="str">
        <f>B7</f>
        <v>: 30 JUNE 2026</v>
      </c>
      <c r="C131" s="261"/>
      <c r="D131" s="270"/>
      <c r="E131" s="269" t="s">
        <v>283</v>
      </c>
      <c r="F131" s="280" t="str">
        <f>B7</f>
        <v>: 30 JUNE 2026</v>
      </c>
      <c r="G131" s="261"/>
      <c r="H131" s="270"/>
    </row>
    <row r="132" spans="1:8" ht="15" customHeight="1">
      <c r="A132" s="269" t="s">
        <v>284</v>
      </c>
      <c r="B132" s="281" t="str">
        <f>B8</f>
        <v>: 06/11/2026 - 06/25/2026</v>
      </c>
      <c r="C132" s="261"/>
      <c r="D132" s="270"/>
      <c r="E132" s="269" t="s">
        <v>284</v>
      </c>
      <c r="F132" s="281" t="str">
        <f>B8</f>
        <v>: 06/11/2026 - 06/25/2026</v>
      </c>
      <c r="G132" s="261"/>
      <c r="H132" s="270"/>
    </row>
    <row r="133" spans="1:8" ht="15" customHeight="1">
      <c r="A133" s="269" t="s">
        <v>285</v>
      </c>
      <c r="B133" s="280" t="s">
        <v>405</v>
      </c>
      <c r="C133" s="261"/>
      <c r="D133" s="270"/>
      <c r="E133" s="269" t="s">
        <v>285</v>
      </c>
      <c r="F133" s="280" t="s">
        <v>301</v>
      </c>
      <c r="G133" s="261"/>
      <c r="H133" s="270"/>
    </row>
    <row r="134" spans="1:8" ht="15" customHeight="1">
      <c r="A134" s="269" t="s">
        <v>286</v>
      </c>
      <c r="B134" s="280" t="s">
        <v>406</v>
      </c>
      <c r="C134" s="261"/>
      <c r="D134" s="270"/>
      <c r="E134" s="269" t="s">
        <v>286</v>
      </c>
      <c r="F134" s="280" t="s">
        <v>395</v>
      </c>
      <c r="G134" s="261"/>
      <c r="H134" s="270"/>
    </row>
    <row r="135" spans="1:8" ht="15" customHeight="1">
      <c r="A135" s="569" t="s">
        <v>287</v>
      </c>
      <c r="B135" s="570"/>
      <c r="C135" s="574" t="s">
        <v>288</v>
      </c>
      <c r="D135" s="575"/>
      <c r="E135" s="569" t="s">
        <v>287</v>
      </c>
      <c r="F135" s="570"/>
      <c r="G135" s="574" t="s">
        <v>288</v>
      </c>
      <c r="H135" s="575"/>
    </row>
    <row r="136" spans="1:8" ht="15" customHeight="1">
      <c r="A136" s="271" t="s">
        <v>289</v>
      </c>
      <c r="B136" s="307">
        <f>'SEPT 30'!D42</f>
        <v>8661.8286057692294</v>
      </c>
      <c r="C136" s="272" t="s">
        <v>149</v>
      </c>
      <c r="D136" s="293">
        <v>0</v>
      </c>
      <c r="E136" s="271" t="s">
        <v>289</v>
      </c>
      <c r="F136" s="307">
        <f>'SEPT 30'!D27</f>
        <v>6562.5</v>
      </c>
      <c r="G136" s="272" t="s">
        <v>149</v>
      </c>
      <c r="H136" s="293">
        <v>0</v>
      </c>
    </row>
    <row r="137" spans="1:8" ht="15" customHeight="1">
      <c r="A137" s="273" t="s">
        <v>291</v>
      </c>
      <c r="B137" s="289">
        <v>0</v>
      </c>
      <c r="C137" s="272" t="s">
        <v>293</v>
      </c>
      <c r="D137" s="293">
        <v>2000</v>
      </c>
      <c r="E137" s="273" t="s">
        <v>291</v>
      </c>
      <c r="F137" s="289">
        <v>0</v>
      </c>
      <c r="G137" s="272" t="s">
        <v>293</v>
      </c>
      <c r="H137" s="293">
        <v>0</v>
      </c>
    </row>
    <row r="138" spans="1:8" ht="15" customHeight="1">
      <c r="A138" s="273" t="s">
        <v>297</v>
      </c>
      <c r="B138" s="289">
        <f>'SEPT 30'!G42</f>
        <v>412.46802884615374</v>
      </c>
      <c r="C138" s="272" t="s">
        <v>146</v>
      </c>
      <c r="D138" s="293">
        <v>875</v>
      </c>
      <c r="E138" s="273" t="s">
        <v>297</v>
      </c>
      <c r="F138" s="289">
        <f>'SEPT 30'!G27</f>
        <v>1015.625</v>
      </c>
      <c r="G138" s="272" t="s">
        <v>146</v>
      </c>
      <c r="H138" s="293">
        <v>650</v>
      </c>
    </row>
    <row r="139" spans="1:8" ht="15" customHeight="1">
      <c r="A139" s="273" t="s">
        <v>187</v>
      </c>
      <c r="B139" s="289">
        <f>'SEPT 30'!H42</f>
        <v>0</v>
      </c>
      <c r="C139" s="272" t="s">
        <v>314</v>
      </c>
      <c r="D139" s="293">
        <v>500</v>
      </c>
      <c r="E139" s="273" t="s">
        <v>187</v>
      </c>
      <c r="F139" s="289">
        <f>'SEPT 30'!H27</f>
        <v>0</v>
      </c>
      <c r="G139" s="272" t="s">
        <v>314</v>
      </c>
      <c r="H139" s="293">
        <v>0</v>
      </c>
    </row>
    <row r="140" spans="1:8" ht="15" customHeight="1">
      <c r="A140" s="273" t="s">
        <v>298</v>
      </c>
      <c r="B140" s="289">
        <v>0</v>
      </c>
      <c r="C140" s="272" t="s">
        <v>294</v>
      </c>
      <c r="D140" s="293">
        <v>0</v>
      </c>
      <c r="E140" s="273" t="s">
        <v>298</v>
      </c>
      <c r="F140" s="289">
        <v>0</v>
      </c>
      <c r="G140" s="272" t="s">
        <v>294</v>
      </c>
      <c r="H140" s="293">
        <v>0</v>
      </c>
    </row>
    <row r="141" spans="1:8" ht="15" customHeight="1">
      <c r="A141" s="282"/>
      <c r="B141" s="283"/>
      <c r="C141" s="272" t="s">
        <v>50</v>
      </c>
      <c r="D141" s="293">
        <v>0</v>
      </c>
      <c r="E141" s="282"/>
      <c r="F141" s="309"/>
      <c r="G141" s="272" t="s">
        <v>50</v>
      </c>
      <c r="H141" s="293">
        <v>0</v>
      </c>
    </row>
    <row r="142" spans="1:8" ht="15" customHeight="1">
      <c r="A142" s="282"/>
      <c r="B142" s="283"/>
      <c r="C142" s="272" t="s">
        <v>317</v>
      </c>
      <c r="D142" s="293">
        <v>500</v>
      </c>
      <c r="E142" s="282"/>
      <c r="F142" s="309"/>
      <c r="G142" s="272" t="s">
        <v>317</v>
      </c>
      <c r="H142" s="293">
        <v>0</v>
      </c>
    </row>
    <row r="143" spans="1:8" ht="15" customHeight="1">
      <c r="A143" s="316" t="s">
        <v>319</v>
      </c>
      <c r="B143" s="309">
        <f>'SEPT 30'!E42</f>
        <v>1653.996795673077</v>
      </c>
      <c r="C143" s="272" t="s">
        <v>315</v>
      </c>
      <c r="D143" s="293">
        <v>0</v>
      </c>
      <c r="E143" s="316" t="s">
        <v>319</v>
      </c>
      <c r="F143" s="309">
        <f>'SEPT 30'!E27</f>
        <v>3.125</v>
      </c>
      <c r="G143" s="272" t="s">
        <v>315</v>
      </c>
      <c r="H143" s="293">
        <v>0</v>
      </c>
    </row>
    <row r="144" spans="1:8" ht="15" customHeight="1">
      <c r="A144" s="284"/>
      <c r="B144" s="285"/>
      <c r="C144" s="272" t="s">
        <v>365</v>
      </c>
      <c r="D144" s="293">
        <v>100</v>
      </c>
      <c r="E144" s="284"/>
      <c r="F144" s="310"/>
      <c r="G144" s="272" t="s">
        <v>365</v>
      </c>
      <c r="H144" s="293">
        <v>100</v>
      </c>
    </row>
    <row r="145" spans="1:8" ht="15" customHeight="1">
      <c r="A145" s="286"/>
      <c r="B145" s="288"/>
      <c r="C145" s="276"/>
      <c r="D145" s="277"/>
      <c r="E145" s="286"/>
      <c r="F145" s="311"/>
      <c r="G145" s="262"/>
      <c r="H145" s="303">
        <v>0</v>
      </c>
    </row>
    <row r="146" spans="1:8" ht="15" customHeight="1">
      <c r="A146" s="275" t="s">
        <v>295</v>
      </c>
      <c r="B146" s="278">
        <f>SUM(B136:B140)-B143</f>
        <v>7420.2998389423055</v>
      </c>
      <c r="C146" s="263" t="s">
        <v>296</v>
      </c>
      <c r="D146" s="279">
        <f>SUM(D136:D145)</f>
        <v>3975</v>
      </c>
      <c r="E146" s="275" t="s">
        <v>295</v>
      </c>
      <c r="F146" s="278">
        <f>SUM(F136:F140)-F143</f>
        <v>7575</v>
      </c>
      <c r="G146" s="263" t="s">
        <v>296</v>
      </c>
      <c r="H146" s="279">
        <f>SUM(H136:H145)</f>
        <v>750</v>
      </c>
    </row>
    <row r="147" spans="1:8" ht="15" customHeight="1">
      <c r="A147" s="571" t="s">
        <v>48</v>
      </c>
      <c r="B147" s="571"/>
      <c r="C147" s="572">
        <f>B146-D146</f>
        <v>3445.2998389423055</v>
      </c>
      <c r="D147" s="573"/>
      <c r="E147" s="571" t="s">
        <v>48</v>
      </c>
      <c r="F147" s="571"/>
      <c r="G147" s="572">
        <f>F146-H146</f>
        <v>6825</v>
      </c>
      <c r="H147" s="573"/>
    </row>
    <row r="149" spans="1:8" ht="15" customHeight="1">
      <c r="A149" s="364" t="s">
        <v>246</v>
      </c>
      <c r="B149" s="364"/>
      <c r="C149" s="364" t="s">
        <v>247</v>
      </c>
      <c r="D149" s="364"/>
      <c r="E149" s="364" t="s">
        <v>246</v>
      </c>
      <c r="F149" s="364"/>
      <c r="G149" s="364" t="s">
        <v>247</v>
      </c>
      <c r="H149" s="364"/>
    </row>
    <row r="150" spans="1:8" ht="15" customHeight="1">
      <c r="A150" s="364"/>
      <c r="B150" s="364"/>
      <c r="C150" s="364"/>
      <c r="D150" s="364"/>
      <c r="E150" s="364"/>
      <c r="F150" s="364"/>
      <c r="G150" s="364"/>
      <c r="H150" s="364"/>
    </row>
    <row r="151" spans="1:8" ht="15" customHeight="1">
      <c r="A151" s="414" t="s">
        <v>249</v>
      </c>
      <c r="B151" s="364"/>
      <c r="C151" s="414" t="s">
        <v>142</v>
      </c>
      <c r="D151" s="364"/>
      <c r="E151" s="414" t="s">
        <v>249</v>
      </c>
      <c r="F151" s="364"/>
      <c r="G151" s="414" t="s">
        <v>142</v>
      </c>
      <c r="H151" s="364"/>
    </row>
    <row r="152" spans="1:8" ht="15" customHeight="1">
      <c r="A152" s="364" t="s">
        <v>208</v>
      </c>
      <c r="B152" s="364"/>
      <c r="C152" s="364" t="s">
        <v>393</v>
      </c>
      <c r="D152" s="364"/>
      <c r="E152" s="364" t="s">
        <v>208</v>
      </c>
      <c r="F152" s="364"/>
      <c r="G152" s="364" t="s">
        <v>393</v>
      </c>
      <c r="H152" s="364"/>
    </row>
    <row r="157" spans="1:8" ht="15" customHeight="1">
      <c r="A157" s="264"/>
      <c r="B157" s="265"/>
      <c r="C157" s="265"/>
      <c r="D157" s="266"/>
      <c r="E157" s="264"/>
      <c r="F157" s="265"/>
      <c r="G157" s="265"/>
      <c r="H157" s="266"/>
    </row>
    <row r="158" spans="1:8" ht="15" customHeight="1">
      <c r="A158" s="267"/>
      <c r="D158" s="268"/>
      <c r="E158" s="267"/>
      <c r="H158" s="268"/>
    </row>
    <row r="159" spans="1:8" ht="15" customHeight="1">
      <c r="A159" s="267"/>
      <c r="D159" s="268"/>
      <c r="E159" s="267"/>
      <c r="H159" s="268"/>
    </row>
    <row r="160" spans="1:8" ht="15" customHeight="1">
      <c r="A160" s="267"/>
      <c r="D160" s="268"/>
      <c r="E160" s="267"/>
      <c r="H160" s="268"/>
    </row>
    <row r="161" spans="1:8" ht="15" customHeight="1">
      <c r="A161" s="267"/>
      <c r="D161" s="268"/>
      <c r="E161" s="267"/>
      <c r="H161" s="268"/>
    </row>
    <row r="162" spans="1:8" ht="15" customHeight="1">
      <c r="A162" s="269" t="s">
        <v>36</v>
      </c>
      <c r="B162" s="280" t="s">
        <v>403</v>
      </c>
      <c r="C162" s="261"/>
      <c r="D162" s="270"/>
      <c r="E162" s="269" t="s">
        <v>36</v>
      </c>
      <c r="F162" s="280" t="s">
        <v>329</v>
      </c>
      <c r="G162" s="261"/>
      <c r="H162" s="270"/>
    </row>
    <row r="163" spans="1:8" ht="15" customHeight="1">
      <c r="A163" s="269" t="s">
        <v>283</v>
      </c>
      <c r="B163" s="280" t="str">
        <f>B7</f>
        <v>: 30 JUNE 2026</v>
      </c>
      <c r="C163" s="261"/>
      <c r="D163" s="270"/>
      <c r="E163" s="269" t="s">
        <v>283</v>
      </c>
      <c r="F163" s="280" t="str">
        <f>B7</f>
        <v>: 30 JUNE 2026</v>
      </c>
      <c r="G163" s="261"/>
      <c r="H163" s="270"/>
    </row>
    <row r="164" spans="1:8" ht="15" customHeight="1">
      <c r="A164" s="269" t="s">
        <v>284</v>
      </c>
      <c r="B164" s="281" t="str">
        <f>B8</f>
        <v>: 06/11/2026 - 06/25/2026</v>
      </c>
      <c r="C164" s="261"/>
      <c r="D164" s="270"/>
      <c r="E164" s="269" t="s">
        <v>284</v>
      </c>
      <c r="F164" s="281" t="str">
        <f>B8</f>
        <v>: 06/11/2026 - 06/25/2026</v>
      </c>
      <c r="G164" s="261"/>
      <c r="H164" s="270"/>
    </row>
    <row r="165" spans="1:8" ht="15" customHeight="1">
      <c r="A165" s="269" t="s">
        <v>285</v>
      </c>
      <c r="B165" s="280" t="s">
        <v>304</v>
      </c>
      <c r="C165" s="261"/>
      <c r="D165" s="270"/>
      <c r="E165" s="269" t="s">
        <v>285</v>
      </c>
      <c r="F165" s="280" t="s">
        <v>304</v>
      </c>
      <c r="G165" s="261"/>
      <c r="H165" s="270"/>
    </row>
    <row r="166" spans="1:8" ht="15" customHeight="1">
      <c r="A166" s="269" t="s">
        <v>286</v>
      </c>
      <c r="B166" s="280" t="s">
        <v>305</v>
      </c>
      <c r="C166" s="261"/>
      <c r="D166" s="270"/>
      <c r="E166" s="269" t="s">
        <v>286</v>
      </c>
      <c r="F166" s="280" t="s">
        <v>402</v>
      </c>
      <c r="G166" s="261"/>
      <c r="H166" s="270"/>
    </row>
    <row r="167" spans="1:8" ht="15" customHeight="1">
      <c r="A167" s="569" t="s">
        <v>287</v>
      </c>
      <c r="B167" s="570"/>
      <c r="C167" s="574" t="s">
        <v>288</v>
      </c>
      <c r="D167" s="575"/>
      <c r="E167" s="569" t="s">
        <v>287</v>
      </c>
      <c r="F167" s="570"/>
      <c r="G167" s="574" t="s">
        <v>288</v>
      </c>
      <c r="H167" s="575"/>
    </row>
    <row r="168" spans="1:8" ht="15" customHeight="1">
      <c r="A168" s="271" t="s">
        <v>289</v>
      </c>
      <c r="B168" s="307">
        <f>'SEPT 30'!D31</f>
        <v>8520</v>
      </c>
      <c r="C168" s="272" t="s">
        <v>149</v>
      </c>
      <c r="D168" s="293">
        <v>1000</v>
      </c>
      <c r="E168" s="271" t="s">
        <v>289</v>
      </c>
      <c r="F168" s="307" t="e">
        <f>'SEPT 30'!#REF!</f>
        <v>#REF!</v>
      </c>
      <c r="G168" s="272" t="s">
        <v>149</v>
      </c>
      <c r="H168" s="293">
        <v>0</v>
      </c>
    </row>
    <row r="169" spans="1:8" ht="15" customHeight="1">
      <c r="A169" s="273" t="s">
        <v>291</v>
      </c>
      <c r="B169" s="289">
        <v>1000</v>
      </c>
      <c r="C169" s="272" t="s">
        <v>293</v>
      </c>
      <c r="D169" s="293">
        <v>0</v>
      </c>
      <c r="E169" s="273" t="s">
        <v>291</v>
      </c>
      <c r="F169" s="289">
        <v>1000</v>
      </c>
      <c r="G169" s="272" t="s">
        <v>293</v>
      </c>
      <c r="H169" s="293">
        <v>0</v>
      </c>
    </row>
    <row r="170" spans="1:8" ht="15" customHeight="1">
      <c r="A170" s="273" t="s">
        <v>297</v>
      </c>
      <c r="B170" s="289">
        <f>'SEPT 30'!G31</f>
        <v>0</v>
      </c>
      <c r="C170" s="272" t="s">
        <v>146</v>
      </c>
      <c r="D170" s="293">
        <v>850</v>
      </c>
      <c r="E170" s="273" t="s">
        <v>297</v>
      </c>
      <c r="F170" s="289" t="e">
        <f>'SEPT 30'!#REF!</f>
        <v>#REF!</v>
      </c>
      <c r="G170" s="272" t="s">
        <v>146</v>
      </c>
      <c r="H170" s="293">
        <v>700</v>
      </c>
    </row>
    <row r="171" spans="1:8" ht="15" customHeight="1">
      <c r="A171" s="273" t="s">
        <v>187</v>
      </c>
      <c r="B171" s="289">
        <f>'SEPT 30'!H31</f>
        <v>0</v>
      </c>
      <c r="C171" s="272" t="s">
        <v>314</v>
      </c>
      <c r="D171" s="293">
        <v>0</v>
      </c>
      <c r="E171" s="273" t="s">
        <v>187</v>
      </c>
      <c r="F171" s="289" t="e">
        <f>'SEPT 30'!#REF!</f>
        <v>#REF!</v>
      </c>
      <c r="G171" s="272" t="s">
        <v>314</v>
      </c>
      <c r="H171" s="293">
        <v>0</v>
      </c>
    </row>
    <row r="172" spans="1:8" ht="15" customHeight="1">
      <c r="A172" s="273" t="s">
        <v>298</v>
      </c>
      <c r="B172" s="289">
        <v>0</v>
      </c>
      <c r="C172" s="272" t="s">
        <v>294</v>
      </c>
      <c r="D172" s="293">
        <v>0</v>
      </c>
      <c r="E172" s="273" t="s">
        <v>298</v>
      </c>
      <c r="F172" s="289">
        <v>0</v>
      </c>
      <c r="G172" s="272" t="s">
        <v>294</v>
      </c>
      <c r="H172" s="293">
        <v>0</v>
      </c>
    </row>
    <row r="173" spans="1:8" ht="15" customHeight="1">
      <c r="A173" s="282"/>
      <c r="B173" s="283"/>
      <c r="C173" s="272" t="s">
        <v>50</v>
      </c>
      <c r="D173" s="293">
        <v>0</v>
      </c>
      <c r="E173" s="282"/>
      <c r="F173" s="309"/>
      <c r="G173" s="272" t="s">
        <v>50</v>
      </c>
      <c r="H173" s="293">
        <v>0</v>
      </c>
    </row>
    <row r="174" spans="1:8" ht="15" customHeight="1">
      <c r="A174" s="282"/>
      <c r="B174" s="283"/>
      <c r="C174" s="272" t="s">
        <v>317</v>
      </c>
      <c r="D174" s="293">
        <v>0</v>
      </c>
      <c r="E174" s="282"/>
      <c r="F174" s="309"/>
      <c r="G174" s="272" t="s">
        <v>317</v>
      </c>
      <c r="H174" s="293">
        <v>0</v>
      </c>
    </row>
    <row r="175" spans="1:8" ht="15" customHeight="1">
      <c r="A175" s="316" t="s">
        <v>319</v>
      </c>
      <c r="B175" s="309">
        <f>'SEPT 30'!E31</f>
        <v>0</v>
      </c>
      <c r="C175" s="272" t="s">
        <v>318</v>
      </c>
      <c r="D175" s="293">
        <v>0</v>
      </c>
      <c r="E175" s="316" t="s">
        <v>319</v>
      </c>
      <c r="F175" s="309" t="e">
        <f>'SEPT 30'!#REF!</f>
        <v>#REF!</v>
      </c>
      <c r="G175" s="272" t="s">
        <v>315</v>
      </c>
      <c r="H175" s="293">
        <v>0</v>
      </c>
    </row>
    <row r="176" spans="1:8" ht="15" customHeight="1">
      <c r="A176" s="284"/>
      <c r="B176" s="285"/>
      <c r="C176" s="272" t="s">
        <v>365</v>
      </c>
      <c r="D176" s="293">
        <v>100</v>
      </c>
      <c r="E176" s="284"/>
      <c r="F176" s="310"/>
      <c r="G176" s="272" t="s">
        <v>365</v>
      </c>
      <c r="H176" s="293">
        <v>100</v>
      </c>
    </row>
    <row r="177" spans="1:8" ht="15" customHeight="1">
      <c r="A177" s="286"/>
      <c r="B177" s="287"/>
      <c r="C177" s="262"/>
      <c r="D177" s="303">
        <v>0</v>
      </c>
      <c r="E177" s="286"/>
      <c r="F177" s="311"/>
      <c r="G177" s="262"/>
      <c r="H177" s="303">
        <v>0</v>
      </c>
    </row>
    <row r="178" spans="1:8" ht="15" customHeight="1">
      <c r="A178" s="275" t="s">
        <v>295</v>
      </c>
      <c r="B178" s="278">
        <f>SUM(B168:B172)-B175</f>
        <v>9520</v>
      </c>
      <c r="C178" s="263" t="s">
        <v>296</v>
      </c>
      <c r="D178" s="279">
        <f>SUM(D168:D177)</f>
        <v>1950</v>
      </c>
      <c r="E178" s="275" t="s">
        <v>295</v>
      </c>
      <c r="F178" s="278" t="e">
        <f>SUM(F168:F172)-F175</f>
        <v>#REF!</v>
      </c>
      <c r="G178" s="263" t="s">
        <v>296</v>
      </c>
      <c r="H178" s="279">
        <f>SUM(H168:H177)</f>
        <v>800</v>
      </c>
    </row>
    <row r="179" spans="1:8" ht="15" customHeight="1">
      <c r="A179" s="571" t="s">
        <v>48</v>
      </c>
      <c r="B179" s="571"/>
      <c r="C179" s="572">
        <f>B178-D178</f>
        <v>7570</v>
      </c>
      <c r="D179" s="573"/>
      <c r="E179" s="571" t="s">
        <v>48</v>
      </c>
      <c r="F179" s="571"/>
      <c r="G179" s="572" t="e">
        <f>F178-H178</f>
        <v>#REF!</v>
      </c>
      <c r="H179" s="573"/>
    </row>
    <row r="180" spans="1:8" ht="15" customHeight="1">
      <c r="A180" s="304"/>
      <c r="B180" s="304"/>
      <c r="C180" s="305"/>
      <c r="D180" s="306"/>
    </row>
    <row r="181" spans="1:8" ht="15" customHeight="1">
      <c r="A181" s="364" t="s">
        <v>246</v>
      </c>
      <c r="B181" s="364"/>
      <c r="C181" s="364" t="s">
        <v>247</v>
      </c>
      <c r="D181" s="364"/>
      <c r="E181" s="364" t="s">
        <v>246</v>
      </c>
      <c r="F181" s="364"/>
      <c r="G181" s="364" t="s">
        <v>247</v>
      </c>
      <c r="H181" s="364"/>
    </row>
    <row r="182" spans="1:8" ht="15" customHeight="1">
      <c r="A182" s="364"/>
      <c r="B182" s="364"/>
      <c r="C182" s="364"/>
      <c r="D182" s="364"/>
      <c r="E182" s="364"/>
      <c r="F182" s="364"/>
      <c r="G182" s="364"/>
      <c r="H182" s="364"/>
    </row>
    <row r="183" spans="1:8" ht="15" customHeight="1">
      <c r="A183" s="414" t="s">
        <v>249</v>
      </c>
      <c r="B183" s="364"/>
      <c r="C183" s="414" t="s">
        <v>142</v>
      </c>
      <c r="D183" s="364"/>
      <c r="E183" s="414" t="s">
        <v>249</v>
      </c>
      <c r="F183" s="364"/>
      <c r="G183" s="414" t="s">
        <v>142</v>
      </c>
      <c r="H183" s="364"/>
    </row>
    <row r="184" spans="1:8" ht="15" customHeight="1">
      <c r="A184" s="364" t="s">
        <v>208</v>
      </c>
      <c r="B184" s="364"/>
      <c r="C184" s="364" t="s">
        <v>393</v>
      </c>
      <c r="D184" s="364"/>
      <c r="E184" s="364" t="s">
        <v>208</v>
      </c>
      <c r="F184" s="364"/>
      <c r="G184" s="364" t="s">
        <v>393</v>
      </c>
      <c r="H184" s="364"/>
    </row>
    <row r="185" spans="1:8" ht="15" customHeight="1">
      <c r="A185" s="304"/>
      <c r="B185" s="304"/>
      <c r="C185" s="305"/>
      <c r="D185" s="306"/>
    </row>
    <row r="186" spans="1:8" ht="15" customHeight="1">
      <c r="A186" s="304"/>
      <c r="B186" s="304"/>
      <c r="C186" s="305"/>
      <c r="D186" s="306"/>
    </row>
    <row r="187" spans="1:8" ht="15" customHeight="1">
      <c r="A187" s="264"/>
      <c r="B187" s="265"/>
      <c r="C187" s="265"/>
      <c r="D187" s="266"/>
    </row>
    <row r="188" spans="1:8" ht="15" customHeight="1">
      <c r="A188" s="267"/>
      <c r="D188" s="268"/>
    </row>
    <row r="189" spans="1:8" ht="15" customHeight="1">
      <c r="A189" s="267"/>
      <c r="D189" s="268"/>
    </row>
    <row r="190" spans="1:8" ht="15" customHeight="1">
      <c r="A190" s="267"/>
      <c r="D190" s="268"/>
    </row>
    <row r="191" spans="1:8" ht="15" customHeight="1">
      <c r="A191" s="267"/>
      <c r="D191" s="268"/>
    </row>
    <row r="192" spans="1:8" ht="15" customHeight="1">
      <c r="A192" s="269" t="s">
        <v>36</v>
      </c>
      <c r="B192" s="280" t="s">
        <v>400</v>
      </c>
      <c r="C192" s="261"/>
      <c r="D192" s="270"/>
    </row>
    <row r="193" spans="1:4" ht="15" customHeight="1">
      <c r="A193" s="269" t="s">
        <v>283</v>
      </c>
      <c r="B193" s="280" t="str">
        <f>B7</f>
        <v>: 30 JUNE 2026</v>
      </c>
      <c r="C193" s="261"/>
      <c r="D193" s="270"/>
    </row>
    <row r="194" spans="1:4" ht="15" customHeight="1">
      <c r="A194" s="269" t="s">
        <v>284</v>
      </c>
      <c r="B194" s="281" t="str">
        <f>B8</f>
        <v>: 06/11/2026 - 06/25/2026</v>
      </c>
      <c r="C194" s="261"/>
      <c r="D194" s="270"/>
    </row>
    <row r="195" spans="1:4" ht="15" customHeight="1">
      <c r="A195" s="269" t="s">
        <v>285</v>
      </c>
      <c r="B195" s="280" t="s">
        <v>304</v>
      </c>
      <c r="C195" s="261"/>
      <c r="D195" s="270"/>
    </row>
    <row r="196" spans="1:4" ht="15" customHeight="1">
      <c r="A196" s="269" t="s">
        <v>286</v>
      </c>
      <c r="B196" s="281" t="s">
        <v>401</v>
      </c>
      <c r="C196" s="261"/>
      <c r="D196" s="270"/>
    </row>
    <row r="197" spans="1:4" ht="15" customHeight="1">
      <c r="A197" s="569" t="s">
        <v>287</v>
      </c>
      <c r="B197" s="570"/>
      <c r="C197" s="574" t="s">
        <v>288</v>
      </c>
      <c r="D197" s="575"/>
    </row>
    <row r="198" spans="1:4" ht="15" customHeight="1">
      <c r="A198" s="271" t="s">
        <v>289</v>
      </c>
      <c r="B198" s="307">
        <f>'SEPT 30'!D33</f>
        <v>7067.3076923076924</v>
      </c>
      <c r="C198" s="272" t="s">
        <v>149</v>
      </c>
      <c r="D198" s="293">
        <v>500</v>
      </c>
    </row>
    <row r="199" spans="1:4" ht="15" customHeight="1">
      <c r="A199" s="273" t="s">
        <v>291</v>
      </c>
      <c r="B199" s="289">
        <v>0</v>
      </c>
      <c r="C199" s="272" t="s">
        <v>293</v>
      </c>
      <c r="D199" s="293">
        <v>0</v>
      </c>
    </row>
    <row r="200" spans="1:4" ht="15" customHeight="1">
      <c r="A200" s="273" t="s">
        <v>297</v>
      </c>
      <c r="B200" s="289">
        <f>'SEPT 30'!G33</f>
        <v>0</v>
      </c>
      <c r="C200" s="272" t="s">
        <v>146</v>
      </c>
      <c r="D200" s="293">
        <f>'SEPT 30'!K33</f>
        <v>700</v>
      </c>
    </row>
    <row r="201" spans="1:4" ht="15" customHeight="1">
      <c r="A201" s="273" t="s">
        <v>187</v>
      </c>
      <c r="B201" s="289">
        <f>'SEPT 30'!H33</f>
        <v>0</v>
      </c>
      <c r="C201" s="272" t="s">
        <v>314</v>
      </c>
      <c r="D201" s="293">
        <v>0</v>
      </c>
    </row>
    <row r="202" spans="1:4" ht="15" customHeight="1">
      <c r="A202" s="273" t="s">
        <v>298</v>
      </c>
      <c r="B202" s="289">
        <v>0</v>
      </c>
      <c r="C202" s="272" t="s">
        <v>294</v>
      </c>
      <c r="D202" s="293">
        <v>0</v>
      </c>
    </row>
    <row r="203" spans="1:4" ht="15" customHeight="1">
      <c r="A203" s="282"/>
      <c r="B203" s="309"/>
      <c r="C203" s="272" t="s">
        <v>50</v>
      </c>
      <c r="D203" s="293">
        <v>0</v>
      </c>
    </row>
    <row r="204" spans="1:4" ht="15" customHeight="1">
      <c r="A204" s="282"/>
      <c r="B204" s="309"/>
      <c r="C204" s="272" t="s">
        <v>317</v>
      </c>
      <c r="D204" s="293">
        <v>0</v>
      </c>
    </row>
    <row r="205" spans="1:4" ht="15" customHeight="1">
      <c r="A205" s="316" t="s">
        <v>319</v>
      </c>
      <c r="B205" s="309">
        <f>'SEPT 30'!E33</f>
        <v>816.66666666666674</v>
      </c>
      <c r="C205" s="272" t="s">
        <v>315</v>
      </c>
      <c r="D205" s="293">
        <v>0</v>
      </c>
    </row>
    <row r="206" spans="1:4" ht="15" customHeight="1">
      <c r="A206" s="284"/>
      <c r="B206" s="310"/>
      <c r="C206" s="272" t="s">
        <v>365</v>
      </c>
      <c r="D206" s="293">
        <v>100</v>
      </c>
    </row>
    <row r="207" spans="1:4" ht="15" customHeight="1">
      <c r="A207" s="286"/>
      <c r="B207" s="311"/>
      <c r="C207" s="262"/>
      <c r="D207" s="303">
        <v>0</v>
      </c>
    </row>
    <row r="208" spans="1:4" ht="15" customHeight="1">
      <c r="A208" s="275" t="s">
        <v>295</v>
      </c>
      <c r="B208" s="278">
        <f>SUM(B198:B202)-B205</f>
        <v>6250.6410256410254</v>
      </c>
      <c r="C208" s="263" t="s">
        <v>296</v>
      </c>
      <c r="D208" s="279">
        <f>SUM(D198:D207)</f>
        <v>1300</v>
      </c>
    </row>
    <row r="209" spans="1:4" ht="15" customHeight="1">
      <c r="A209" s="571" t="s">
        <v>48</v>
      </c>
      <c r="B209" s="571"/>
      <c r="C209" s="572">
        <f>B208-D208</f>
        <v>4950.6410256410254</v>
      </c>
      <c r="D209" s="573"/>
    </row>
    <row r="211" spans="1:4" ht="15" customHeight="1">
      <c r="A211" s="364" t="s">
        <v>246</v>
      </c>
      <c r="B211" s="364"/>
      <c r="C211" s="364" t="s">
        <v>247</v>
      </c>
      <c r="D211" s="364"/>
    </row>
    <row r="212" spans="1:4" ht="15" customHeight="1">
      <c r="A212" s="364"/>
      <c r="B212" s="364"/>
      <c r="C212" s="364"/>
      <c r="D212" s="364"/>
    </row>
    <row r="213" spans="1:4" ht="15" customHeight="1">
      <c r="A213" s="414" t="s">
        <v>249</v>
      </c>
      <c r="B213" s="364"/>
      <c r="C213" s="414" t="s">
        <v>142</v>
      </c>
      <c r="D213" s="364"/>
    </row>
    <row r="214" spans="1:4" ht="15" customHeight="1">
      <c r="A214" s="364" t="s">
        <v>208</v>
      </c>
      <c r="B214" s="364"/>
      <c r="C214" s="364" t="s">
        <v>393</v>
      </c>
      <c r="D214" s="364"/>
    </row>
    <row r="219" spans="1:4" ht="15" customHeight="1">
      <c r="A219" s="264"/>
      <c r="B219" s="265"/>
      <c r="C219" s="265"/>
      <c r="D219" s="266"/>
    </row>
    <row r="220" spans="1:4" ht="15" customHeight="1">
      <c r="A220" s="267"/>
      <c r="D220" s="268"/>
    </row>
    <row r="221" spans="1:4" ht="15" customHeight="1">
      <c r="A221" s="267"/>
      <c r="D221" s="268"/>
    </row>
    <row r="222" spans="1:4" ht="15" customHeight="1">
      <c r="A222" s="267"/>
      <c r="D222" s="268"/>
    </row>
    <row r="223" spans="1:4" ht="15" customHeight="1">
      <c r="A223" s="267"/>
      <c r="D223" s="268"/>
    </row>
    <row r="224" spans="1:4" ht="15" customHeight="1">
      <c r="A224" s="269" t="s">
        <v>36</v>
      </c>
      <c r="B224" s="281" t="s">
        <v>396</v>
      </c>
      <c r="C224" s="261"/>
      <c r="D224" s="270"/>
    </row>
    <row r="225" spans="1:4" ht="15" customHeight="1">
      <c r="A225" s="269" t="s">
        <v>283</v>
      </c>
      <c r="B225" s="280" t="str">
        <f>B39</f>
        <v>: 30 JUNE 2026</v>
      </c>
      <c r="C225" s="261"/>
      <c r="D225" s="270"/>
    </row>
    <row r="226" spans="1:4" ht="15" customHeight="1">
      <c r="A226" s="269" t="s">
        <v>284</v>
      </c>
      <c r="B226" s="281" t="str">
        <f>B40</f>
        <v>: 06/11/2026 - 06/25/2026</v>
      </c>
      <c r="C226" s="261"/>
      <c r="D226" s="270"/>
    </row>
    <row r="227" spans="1:4" ht="15" customHeight="1">
      <c r="A227" s="269" t="s">
        <v>285</v>
      </c>
      <c r="B227" s="281" t="s">
        <v>391</v>
      </c>
      <c r="C227" s="261"/>
      <c r="D227" s="270"/>
    </row>
    <row r="228" spans="1:4" ht="15" customHeight="1">
      <c r="A228" s="269" t="s">
        <v>286</v>
      </c>
      <c r="B228" s="281" t="s">
        <v>334</v>
      </c>
      <c r="C228" s="261"/>
      <c r="D228" s="270"/>
    </row>
    <row r="229" spans="1:4" ht="15" customHeight="1">
      <c r="A229" s="569" t="s">
        <v>287</v>
      </c>
      <c r="B229" s="570"/>
      <c r="C229" s="574" t="s">
        <v>288</v>
      </c>
      <c r="D229" s="575"/>
    </row>
    <row r="230" spans="1:4" ht="15" customHeight="1">
      <c r="A230" s="271" t="s">
        <v>289</v>
      </c>
      <c r="B230" s="307">
        <f>'SEPT 30'!D23</f>
        <v>6562.5</v>
      </c>
      <c r="C230" s="272" t="s">
        <v>149</v>
      </c>
      <c r="D230" s="293">
        <v>0</v>
      </c>
    </row>
    <row r="231" spans="1:4" ht="15" customHeight="1">
      <c r="A231" s="273" t="s">
        <v>291</v>
      </c>
      <c r="B231" s="289">
        <v>0</v>
      </c>
      <c r="C231" s="272" t="s">
        <v>293</v>
      </c>
      <c r="D231" s="293">
        <v>0</v>
      </c>
    </row>
    <row r="232" spans="1:4" ht="15" customHeight="1">
      <c r="A232" s="273" t="s">
        <v>297</v>
      </c>
      <c r="B232" s="289">
        <f>'SEPT 30'!G23</f>
        <v>625</v>
      </c>
      <c r="C232" s="272" t="s">
        <v>146</v>
      </c>
      <c r="D232" s="293">
        <v>650</v>
      </c>
    </row>
    <row r="233" spans="1:4" ht="15" customHeight="1">
      <c r="A233" s="273" t="s">
        <v>187</v>
      </c>
      <c r="B233" s="289">
        <f>'SEPT 30'!H23</f>
        <v>0</v>
      </c>
      <c r="C233" s="272" t="s">
        <v>314</v>
      </c>
      <c r="D233" s="293">
        <v>0</v>
      </c>
    </row>
    <row r="234" spans="1:4" ht="15" customHeight="1">
      <c r="A234" s="273" t="s">
        <v>298</v>
      </c>
      <c r="B234" s="289">
        <v>0</v>
      </c>
      <c r="C234" s="272" t="s">
        <v>294</v>
      </c>
      <c r="D234" s="293">
        <v>0</v>
      </c>
    </row>
    <row r="235" spans="1:4" ht="15" customHeight="1">
      <c r="A235" s="282"/>
      <c r="B235" s="309"/>
      <c r="C235" s="272" t="s">
        <v>50</v>
      </c>
      <c r="D235" s="293">
        <v>0</v>
      </c>
    </row>
    <row r="236" spans="1:4" ht="15" customHeight="1">
      <c r="A236" s="282"/>
      <c r="B236" s="309"/>
      <c r="C236" s="272" t="s">
        <v>317</v>
      </c>
      <c r="D236" s="293">
        <v>0</v>
      </c>
    </row>
    <row r="237" spans="1:4" ht="15" customHeight="1">
      <c r="A237" s="316" t="s">
        <v>319</v>
      </c>
      <c r="B237" s="309">
        <f>'SEPT 30'!E23</f>
        <v>250.00000000000003</v>
      </c>
      <c r="C237" s="272" t="s">
        <v>315</v>
      </c>
      <c r="D237" s="293">
        <v>0</v>
      </c>
    </row>
    <row r="238" spans="1:4" ht="15" customHeight="1">
      <c r="A238" s="284"/>
      <c r="B238" s="310"/>
      <c r="C238" s="272" t="s">
        <v>365</v>
      </c>
      <c r="D238" s="293">
        <v>100</v>
      </c>
    </row>
    <row r="239" spans="1:4" ht="15" customHeight="1">
      <c r="A239" s="286"/>
      <c r="B239" s="311"/>
      <c r="C239" s="262"/>
      <c r="D239" s="303">
        <v>0</v>
      </c>
    </row>
    <row r="240" spans="1:4" ht="15" customHeight="1">
      <c r="A240" s="275" t="s">
        <v>295</v>
      </c>
      <c r="B240" s="278">
        <f>SUM(B230:B234)-B237</f>
        <v>6937.5</v>
      </c>
      <c r="C240" s="263" t="s">
        <v>296</v>
      </c>
      <c r="D240" s="279">
        <f>SUM(D230:D239)</f>
        <v>750</v>
      </c>
    </row>
    <row r="241" spans="1:4" ht="15" customHeight="1">
      <c r="A241" s="571" t="s">
        <v>48</v>
      </c>
      <c r="B241" s="571"/>
      <c r="C241" s="572">
        <f>B240-D240</f>
        <v>6187.5</v>
      </c>
      <c r="D241" s="573"/>
    </row>
    <row r="243" spans="1:4" ht="15" customHeight="1">
      <c r="A243" s="364" t="s">
        <v>246</v>
      </c>
      <c r="B243" s="364"/>
      <c r="C243" s="364" t="s">
        <v>247</v>
      </c>
      <c r="D243" s="364"/>
    </row>
    <row r="244" spans="1:4" ht="15" customHeight="1">
      <c r="A244" s="364"/>
      <c r="B244" s="364"/>
      <c r="C244" s="364"/>
      <c r="D244" s="364"/>
    </row>
    <row r="245" spans="1:4" ht="15" customHeight="1">
      <c r="A245" s="414" t="s">
        <v>249</v>
      </c>
      <c r="B245" s="364"/>
      <c r="C245" s="414" t="s">
        <v>142</v>
      </c>
      <c r="D245" s="364"/>
    </row>
    <row r="246" spans="1:4" ht="15" customHeight="1">
      <c r="A246" s="364" t="s">
        <v>208</v>
      </c>
      <c r="B246" s="364"/>
      <c r="C246" s="364" t="s">
        <v>393</v>
      </c>
      <c r="D246" s="364"/>
    </row>
  </sheetData>
  <mergeCells count="56">
    <mergeCell ref="A229:B229"/>
    <mergeCell ref="C229:D229"/>
    <mergeCell ref="A241:B241"/>
    <mergeCell ref="C241:D241"/>
    <mergeCell ref="E11:F11"/>
    <mergeCell ref="E73:F73"/>
    <mergeCell ref="A167:B167"/>
    <mergeCell ref="C167:D167"/>
    <mergeCell ref="E147:F147"/>
    <mergeCell ref="E135:F135"/>
    <mergeCell ref="G11:H11"/>
    <mergeCell ref="A55:B55"/>
    <mergeCell ref="C55:D55"/>
    <mergeCell ref="E23:F23"/>
    <mergeCell ref="G23:H23"/>
    <mergeCell ref="A11:B11"/>
    <mergeCell ref="C11:D11"/>
    <mergeCell ref="A23:B23"/>
    <mergeCell ref="C23:D23"/>
    <mergeCell ref="E43:F43"/>
    <mergeCell ref="G43:H43"/>
    <mergeCell ref="E55:F55"/>
    <mergeCell ref="G55:H55"/>
    <mergeCell ref="A43:B43"/>
    <mergeCell ref="C43:D43"/>
    <mergeCell ref="G73:H73"/>
    <mergeCell ref="A117:B117"/>
    <mergeCell ref="C117:D117"/>
    <mergeCell ref="E85:F85"/>
    <mergeCell ref="G85:H85"/>
    <mergeCell ref="G117:H117"/>
    <mergeCell ref="E105:F105"/>
    <mergeCell ref="G105:H105"/>
    <mergeCell ref="A73:B73"/>
    <mergeCell ref="C73:D73"/>
    <mergeCell ref="A85:B85"/>
    <mergeCell ref="C85:D85"/>
    <mergeCell ref="E117:F117"/>
    <mergeCell ref="A105:B105"/>
    <mergeCell ref="C105:D105"/>
    <mergeCell ref="G135:H135"/>
    <mergeCell ref="G147:H147"/>
    <mergeCell ref="A209:B209"/>
    <mergeCell ref="C209:D209"/>
    <mergeCell ref="E167:F167"/>
    <mergeCell ref="G167:H167"/>
    <mergeCell ref="E179:F179"/>
    <mergeCell ref="G179:H179"/>
    <mergeCell ref="A197:B197"/>
    <mergeCell ref="C197:D197"/>
    <mergeCell ref="A135:B135"/>
    <mergeCell ref="C135:D135"/>
    <mergeCell ref="A179:B179"/>
    <mergeCell ref="C179:D179"/>
    <mergeCell ref="A147:B147"/>
    <mergeCell ref="C147:D147"/>
  </mergeCells>
  <pageMargins left="0.79166666666666663" right="0.58333333333333337" top="0.40625" bottom="0.38541666666666669" header="0.3" footer="0.3"/>
  <pageSetup paperSize="5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47"/>
  <sheetViews>
    <sheetView view="pageLayout" topLeftCell="A182" zoomScaleNormal="100" workbookViewId="0">
      <selection activeCell="D193" sqref="D193"/>
    </sheetView>
  </sheetViews>
  <sheetFormatPr defaultColWidth="8.875" defaultRowHeight="15" customHeight="1"/>
  <cols>
    <col min="1" max="1" width="20.625" style="364" customWidth="1"/>
    <col min="2" max="2" width="22.5" style="364" customWidth="1"/>
    <col min="3" max="3" width="19.125" style="364" customWidth="1"/>
    <col min="4" max="4" width="13.625" style="364" customWidth="1"/>
    <col min="5" max="5" width="20.625" style="364" customWidth="1"/>
    <col min="6" max="6" width="22.5" style="364" customWidth="1"/>
    <col min="7" max="7" width="19.125" style="364" customWidth="1"/>
    <col min="8" max="8" width="13.625" style="364" customWidth="1"/>
    <col min="9" max="16384" width="8.875" style="364"/>
  </cols>
  <sheetData>
    <row r="1" spans="1:8" ht="15" customHeight="1">
      <c r="A1" s="361"/>
      <c r="B1" s="362"/>
      <c r="C1" s="362"/>
      <c r="D1" s="363"/>
      <c r="E1" s="361"/>
      <c r="F1" s="362"/>
      <c r="G1" s="362"/>
      <c r="H1" s="363"/>
    </row>
    <row r="2" spans="1:8" ht="15" customHeight="1">
      <c r="A2" s="365"/>
      <c r="D2" s="366"/>
      <c r="E2" s="365"/>
      <c r="H2" s="366"/>
    </row>
    <row r="3" spans="1:8" ht="15" customHeight="1">
      <c r="A3" s="365"/>
      <c r="D3" s="366"/>
      <c r="E3" s="365"/>
      <c r="H3" s="366"/>
    </row>
    <row r="4" spans="1:8" ht="15" customHeight="1">
      <c r="A4" s="365"/>
      <c r="D4" s="366"/>
      <c r="E4" s="365"/>
      <c r="H4" s="366"/>
    </row>
    <row r="5" spans="1:8" ht="15" customHeight="1">
      <c r="A5" s="365"/>
      <c r="D5" s="366"/>
      <c r="E5" s="365"/>
      <c r="H5" s="366"/>
    </row>
    <row r="6" spans="1:8" ht="15" customHeight="1">
      <c r="A6" s="367" t="s">
        <v>36</v>
      </c>
      <c r="B6" s="368" t="s">
        <v>359</v>
      </c>
      <c r="C6" s="369"/>
      <c r="D6" s="370"/>
      <c r="E6" s="367" t="s">
        <v>36</v>
      </c>
      <c r="F6" s="368" t="s">
        <v>382</v>
      </c>
      <c r="G6" s="369"/>
      <c r="H6" s="370"/>
    </row>
    <row r="7" spans="1:8" ht="15" customHeight="1">
      <c r="A7" s="367" t="s">
        <v>283</v>
      </c>
      <c r="B7" s="280" t="s">
        <v>446</v>
      </c>
      <c r="C7" s="369"/>
      <c r="D7" s="370"/>
      <c r="E7" s="367" t="s">
        <v>283</v>
      </c>
      <c r="F7" s="368" t="str">
        <f>B7</f>
        <v>: 30 JUNE 2026</v>
      </c>
      <c r="G7" s="369"/>
      <c r="H7" s="370"/>
    </row>
    <row r="8" spans="1:8" ht="15" customHeight="1">
      <c r="A8" s="367" t="s">
        <v>284</v>
      </c>
      <c r="B8" s="281" t="s">
        <v>447</v>
      </c>
      <c r="C8" s="369"/>
      <c r="D8" s="370"/>
      <c r="E8" s="367" t="s">
        <v>284</v>
      </c>
      <c r="F8" s="371" t="str">
        <f>B8</f>
        <v>: 06/11/2026 - 06/25/2026</v>
      </c>
      <c r="G8" s="369"/>
      <c r="H8" s="370"/>
    </row>
    <row r="9" spans="1:8" ht="15" customHeight="1">
      <c r="A9" s="367" t="s">
        <v>285</v>
      </c>
      <c r="B9" s="371" t="s">
        <v>391</v>
      </c>
      <c r="C9" s="369"/>
      <c r="D9" s="370"/>
      <c r="E9" s="367" t="s">
        <v>285</v>
      </c>
      <c r="F9" s="371" t="s">
        <v>391</v>
      </c>
      <c r="G9" s="369"/>
      <c r="H9" s="370"/>
    </row>
    <row r="10" spans="1:8" ht="15" customHeight="1">
      <c r="A10" s="367" t="s">
        <v>286</v>
      </c>
      <c r="B10" s="368" t="s">
        <v>392</v>
      </c>
      <c r="C10" s="369"/>
      <c r="D10" s="370"/>
      <c r="E10" s="367" t="s">
        <v>286</v>
      </c>
      <c r="F10" s="368" t="s">
        <v>392</v>
      </c>
      <c r="G10" s="369"/>
      <c r="H10" s="370"/>
    </row>
    <row r="11" spans="1:8" ht="15" customHeight="1">
      <c r="A11" s="583" t="s">
        <v>287</v>
      </c>
      <c r="B11" s="584"/>
      <c r="C11" s="581" t="s">
        <v>288</v>
      </c>
      <c r="D11" s="582"/>
      <c r="E11" s="583" t="s">
        <v>287</v>
      </c>
      <c r="F11" s="584"/>
      <c r="G11" s="581" t="s">
        <v>288</v>
      </c>
      <c r="H11" s="582"/>
    </row>
    <row r="12" spans="1:8" ht="15" customHeight="1">
      <c r="A12" s="372" t="s">
        <v>289</v>
      </c>
      <c r="B12" s="307">
        <v>9500</v>
      </c>
      <c r="C12" s="373" t="s">
        <v>149</v>
      </c>
      <c r="D12" s="293">
        <v>1250</v>
      </c>
      <c r="E12" s="372" t="s">
        <v>289</v>
      </c>
      <c r="F12" s="307">
        <v>9000</v>
      </c>
      <c r="G12" s="373" t="s">
        <v>149</v>
      </c>
      <c r="H12" s="293">
        <v>0</v>
      </c>
    </row>
    <row r="13" spans="1:8" ht="15" customHeight="1">
      <c r="A13" s="374" t="s">
        <v>291</v>
      </c>
      <c r="B13" s="289">
        <v>3000</v>
      </c>
      <c r="C13" s="373" t="s">
        <v>293</v>
      </c>
      <c r="D13" s="293">
        <v>0</v>
      </c>
      <c r="E13" s="374" t="s">
        <v>291</v>
      </c>
      <c r="F13" s="289">
        <v>3000</v>
      </c>
      <c r="G13" s="373" t="s">
        <v>293</v>
      </c>
      <c r="H13" s="293">
        <v>0</v>
      </c>
    </row>
    <row r="14" spans="1:8" ht="15" customHeight="1">
      <c r="A14" s="374" t="s">
        <v>297</v>
      </c>
      <c r="B14" s="289">
        <v>0</v>
      </c>
      <c r="C14" s="373" t="s">
        <v>146</v>
      </c>
      <c r="D14" s="293">
        <v>900</v>
      </c>
      <c r="E14" s="374" t="s">
        <v>297</v>
      </c>
      <c r="F14" s="289">
        <v>0</v>
      </c>
      <c r="G14" s="373" t="s">
        <v>146</v>
      </c>
      <c r="H14" s="293">
        <v>900</v>
      </c>
    </row>
    <row r="15" spans="1:8" ht="15" customHeight="1">
      <c r="A15" s="374" t="s">
        <v>187</v>
      </c>
      <c r="B15" s="289">
        <v>0</v>
      </c>
      <c r="C15" s="373" t="s">
        <v>314</v>
      </c>
      <c r="D15" s="293">
        <v>0</v>
      </c>
      <c r="E15" s="374" t="s">
        <v>187</v>
      </c>
      <c r="F15" s="289">
        <v>0</v>
      </c>
      <c r="G15" s="373" t="s">
        <v>314</v>
      </c>
      <c r="H15" s="293">
        <v>0</v>
      </c>
    </row>
    <row r="16" spans="1:8" ht="15" customHeight="1">
      <c r="A16" s="374" t="s">
        <v>298</v>
      </c>
      <c r="B16" s="289">
        <v>0</v>
      </c>
      <c r="C16" s="373" t="s">
        <v>294</v>
      </c>
      <c r="D16" s="293">
        <v>0</v>
      </c>
      <c r="E16" s="374" t="s">
        <v>298</v>
      </c>
      <c r="F16" s="289">
        <v>0</v>
      </c>
      <c r="G16" s="373" t="s">
        <v>294</v>
      </c>
      <c r="H16" s="293">
        <v>0</v>
      </c>
    </row>
    <row r="17" spans="1:8" ht="15" customHeight="1">
      <c r="A17" s="375"/>
      <c r="B17" s="290"/>
      <c r="C17" s="373" t="s">
        <v>50</v>
      </c>
      <c r="D17" s="293">
        <v>0</v>
      </c>
      <c r="E17" s="375"/>
      <c r="F17" s="290"/>
      <c r="G17" s="373" t="s">
        <v>50</v>
      </c>
      <c r="H17" s="293">
        <v>0</v>
      </c>
    </row>
    <row r="18" spans="1:8" ht="15" customHeight="1">
      <c r="A18" s="375"/>
      <c r="B18" s="290"/>
      <c r="C18" s="373" t="s">
        <v>317</v>
      </c>
      <c r="D18" s="293">
        <v>0</v>
      </c>
      <c r="E18" s="375"/>
      <c r="F18" s="290"/>
      <c r="G18" s="373" t="s">
        <v>317</v>
      </c>
      <c r="H18" s="293">
        <v>0</v>
      </c>
    </row>
    <row r="19" spans="1:8" ht="15" customHeight="1">
      <c r="A19" s="376" t="s">
        <v>333</v>
      </c>
      <c r="B19" s="293">
        <v>0</v>
      </c>
      <c r="C19" s="373" t="s">
        <v>315</v>
      </c>
      <c r="D19" s="293">
        <v>0</v>
      </c>
      <c r="E19" s="375"/>
      <c r="F19" s="290"/>
      <c r="G19" s="373" t="s">
        <v>315</v>
      </c>
      <c r="H19" s="293">
        <v>0</v>
      </c>
    </row>
    <row r="20" spans="1:8" ht="15" customHeight="1">
      <c r="A20" s="377"/>
      <c r="B20" s="291"/>
      <c r="C20" s="272" t="s">
        <v>365</v>
      </c>
      <c r="D20" s="293">
        <v>100</v>
      </c>
      <c r="E20" s="377"/>
      <c r="F20" s="291"/>
      <c r="G20" s="272" t="s">
        <v>365</v>
      </c>
      <c r="H20" s="293">
        <v>100</v>
      </c>
    </row>
    <row r="21" spans="1:8" ht="15" customHeight="1">
      <c r="A21" s="378"/>
      <c r="B21" s="292"/>
      <c r="C21" s="379"/>
      <c r="D21" s="294"/>
      <c r="E21" s="378"/>
      <c r="F21" s="292"/>
      <c r="G21" s="379"/>
      <c r="H21" s="294"/>
    </row>
    <row r="22" spans="1:8" ht="15" customHeight="1">
      <c r="A22" s="380" t="s">
        <v>295</v>
      </c>
      <c r="B22" s="381">
        <f>SUM(B12:B21)</f>
        <v>12500</v>
      </c>
      <c r="C22" s="382" t="s">
        <v>296</v>
      </c>
      <c r="D22" s="383">
        <f>SUM(D12:D21)</f>
        <v>2250</v>
      </c>
      <c r="E22" s="380" t="s">
        <v>295</v>
      </c>
      <c r="F22" s="381">
        <f>SUM(F12:F21)</f>
        <v>12000</v>
      </c>
      <c r="G22" s="382" t="s">
        <v>296</v>
      </c>
      <c r="H22" s="383">
        <f>SUM(H12:H21)</f>
        <v>1000</v>
      </c>
    </row>
    <row r="23" spans="1:8" ht="15" customHeight="1">
      <c r="A23" s="586" t="s">
        <v>48</v>
      </c>
      <c r="B23" s="586"/>
      <c r="C23" s="587">
        <f>B22-D22</f>
        <v>10250</v>
      </c>
      <c r="D23" s="588"/>
      <c r="E23" s="577" t="s">
        <v>48</v>
      </c>
      <c r="F23" s="578"/>
      <c r="G23" s="579">
        <f>F22-H22</f>
        <v>11000</v>
      </c>
      <c r="H23" s="580"/>
    </row>
    <row r="25" spans="1:8" ht="15" customHeight="1">
      <c r="A25" s="364" t="s">
        <v>246</v>
      </c>
      <c r="C25" s="364" t="s">
        <v>247</v>
      </c>
      <c r="E25" s="364" t="s">
        <v>246</v>
      </c>
      <c r="G25" s="364" t="s">
        <v>247</v>
      </c>
    </row>
    <row r="27" spans="1:8" ht="15" customHeight="1">
      <c r="A27" s="414" t="s">
        <v>249</v>
      </c>
      <c r="C27" s="414" t="s">
        <v>142</v>
      </c>
      <c r="E27" s="414" t="s">
        <v>249</v>
      </c>
      <c r="G27" s="414" t="s">
        <v>142</v>
      </c>
    </row>
    <row r="28" spans="1:8" ht="15" customHeight="1">
      <c r="A28" s="364" t="s">
        <v>208</v>
      </c>
      <c r="C28" s="364" t="s">
        <v>393</v>
      </c>
      <c r="E28" s="364" t="s">
        <v>208</v>
      </c>
      <c r="G28" s="364" t="s">
        <v>393</v>
      </c>
    </row>
    <row r="33" spans="1:8" ht="15" customHeight="1">
      <c r="A33" s="361"/>
      <c r="B33" s="362"/>
      <c r="C33" s="362"/>
      <c r="D33" s="363"/>
      <c r="E33" s="361"/>
      <c r="F33" s="362"/>
      <c r="G33" s="362"/>
      <c r="H33" s="363"/>
    </row>
    <row r="34" spans="1:8" ht="15" customHeight="1">
      <c r="A34" s="365"/>
      <c r="D34" s="366"/>
      <c r="E34" s="365"/>
      <c r="H34" s="366"/>
    </row>
    <row r="35" spans="1:8" ht="15" customHeight="1">
      <c r="A35" s="365"/>
      <c r="D35" s="366"/>
      <c r="E35" s="365"/>
      <c r="H35" s="366"/>
    </row>
    <row r="36" spans="1:8" ht="15" customHeight="1">
      <c r="A36" s="365"/>
      <c r="D36" s="366"/>
      <c r="E36" s="365"/>
      <c r="H36" s="366"/>
    </row>
    <row r="37" spans="1:8" ht="15" customHeight="1">
      <c r="A37" s="365"/>
      <c r="D37" s="366"/>
      <c r="E37" s="365"/>
      <c r="H37" s="366"/>
    </row>
    <row r="38" spans="1:8" ht="15" customHeight="1">
      <c r="A38" s="367" t="s">
        <v>36</v>
      </c>
      <c r="B38" s="368" t="s">
        <v>383</v>
      </c>
      <c r="C38" s="369"/>
      <c r="D38" s="370"/>
      <c r="E38" s="367" t="s">
        <v>36</v>
      </c>
      <c r="F38" s="371" t="s">
        <v>384</v>
      </c>
      <c r="G38" s="369"/>
      <c r="H38" s="370"/>
    </row>
    <row r="39" spans="1:8" ht="15" customHeight="1">
      <c r="A39" s="367" t="s">
        <v>283</v>
      </c>
      <c r="B39" s="368" t="str">
        <f>B7</f>
        <v>: 30 JUNE 2026</v>
      </c>
      <c r="C39" s="369"/>
      <c r="D39" s="370"/>
      <c r="E39" s="367" t="s">
        <v>283</v>
      </c>
      <c r="F39" s="368" t="str">
        <f>B7</f>
        <v>: 30 JUNE 2026</v>
      </c>
      <c r="G39" s="369"/>
      <c r="H39" s="370"/>
    </row>
    <row r="40" spans="1:8" ht="15" customHeight="1">
      <c r="A40" s="367" t="s">
        <v>284</v>
      </c>
      <c r="B40" s="371" t="str">
        <f>B8</f>
        <v>: 06/11/2026 - 06/25/2026</v>
      </c>
      <c r="C40" s="369"/>
      <c r="D40" s="370"/>
      <c r="E40" s="367" t="s">
        <v>284</v>
      </c>
      <c r="F40" s="371" t="str">
        <f>B8</f>
        <v>: 06/11/2026 - 06/25/2026</v>
      </c>
      <c r="G40" s="369"/>
      <c r="H40" s="370"/>
    </row>
    <row r="41" spans="1:8" ht="15" customHeight="1">
      <c r="A41" s="367" t="s">
        <v>285</v>
      </c>
      <c r="B41" s="371" t="s">
        <v>391</v>
      </c>
      <c r="C41" s="369"/>
      <c r="D41" s="370"/>
      <c r="E41" s="367" t="s">
        <v>285</v>
      </c>
      <c r="F41" s="371" t="s">
        <v>391</v>
      </c>
      <c r="G41" s="369"/>
      <c r="H41" s="370"/>
    </row>
    <row r="42" spans="1:8" ht="15" customHeight="1">
      <c r="A42" s="367" t="s">
        <v>286</v>
      </c>
      <c r="B42" s="368" t="s">
        <v>350</v>
      </c>
      <c r="C42" s="369"/>
      <c r="D42" s="370"/>
      <c r="E42" s="367" t="s">
        <v>286</v>
      </c>
      <c r="F42" s="368" t="s">
        <v>350</v>
      </c>
      <c r="G42" s="369"/>
      <c r="H42" s="370"/>
    </row>
    <row r="43" spans="1:8" ht="15" customHeight="1">
      <c r="A43" s="583" t="s">
        <v>287</v>
      </c>
      <c r="B43" s="584"/>
      <c r="C43" s="581" t="s">
        <v>288</v>
      </c>
      <c r="D43" s="585"/>
      <c r="E43" s="583" t="s">
        <v>287</v>
      </c>
      <c r="F43" s="584"/>
      <c r="G43" s="581" t="s">
        <v>288</v>
      </c>
      <c r="H43" s="582"/>
    </row>
    <row r="44" spans="1:8" ht="15" customHeight="1">
      <c r="A44" s="372" t="s">
        <v>289</v>
      </c>
      <c r="B44" s="307">
        <v>7000</v>
      </c>
      <c r="C44" s="373" t="s">
        <v>149</v>
      </c>
      <c r="D44" s="384">
        <v>0</v>
      </c>
      <c r="E44" s="385" t="s">
        <v>289</v>
      </c>
      <c r="F44" s="307">
        <v>7000</v>
      </c>
      <c r="G44" s="373" t="s">
        <v>149</v>
      </c>
      <c r="H44" s="293">
        <v>0</v>
      </c>
    </row>
    <row r="45" spans="1:8" ht="15" customHeight="1">
      <c r="A45" s="374" t="s">
        <v>291</v>
      </c>
      <c r="B45" s="289">
        <v>2500</v>
      </c>
      <c r="C45" s="373" t="s">
        <v>293</v>
      </c>
      <c r="D45" s="386">
        <v>1097</v>
      </c>
      <c r="E45" s="374" t="s">
        <v>291</v>
      </c>
      <c r="F45" s="289">
        <v>2500</v>
      </c>
      <c r="G45" s="373" t="s">
        <v>293</v>
      </c>
      <c r="H45" s="293">
        <v>0</v>
      </c>
    </row>
    <row r="46" spans="1:8" ht="15" customHeight="1">
      <c r="A46" s="374" t="s">
        <v>297</v>
      </c>
      <c r="B46" s="289">
        <v>0</v>
      </c>
      <c r="C46" s="373" t="s">
        <v>146</v>
      </c>
      <c r="D46" s="313">
        <v>600</v>
      </c>
      <c r="E46" s="374" t="s">
        <v>297</v>
      </c>
      <c r="F46" s="289">
        <v>0</v>
      </c>
      <c r="G46" s="373" t="s">
        <v>146</v>
      </c>
      <c r="H46" s="386">
        <v>700</v>
      </c>
    </row>
    <row r="47" spans="1:8" ht="15" customHeight="1">
      <c r="A47" s="374" t="s">
        <v>187</v>
      </c>
      <c r="B47" s="289">
        <v>0</v>
      </c>
      <c r="C47" s="373" t="s">
        <v>314</v>
      </c>
      <c r="D47" s="293">
        <v>0</v>
      </c>
      <c r="E47" s="374" t="s">
        <v>187</v>
      </c>
      <c r="F47" s="289">
        <v>0</v>
      </c>
      <c r="G47" s="373" t="s">
        <v>314</v>
      </c>
      <c r="H47" s="293">
        <v>0</v>
      </c>
    </row>
    <row r="48" spans="1:8" ht="15" customHeight="1">
      <c r="A48" s="374" t="s">
        <v>298</v>
      </c>
      <c r="B48" s="289">
        <v>0</v>
      </c>
      <c r="C48" s="373" t="s">
        <v>294</v>
      </c>
      <c r="D48" s="293">
        <v>0</v>
      </c>
      <c r="E48" s="374" t="s">
        <v>298</v>
      </c>
      <c r="F48" s="289">
        <v>0</v>
      </c>
      <c r="G48" s="373" t="s">
        <v>294</v>
      </c>
      <c r="H48" s="293">
        <v>0</v>
      </c>
    </row>
    <row r="49" spans="1:8" ht="15" customHeight="1">
      <c r="A49" s="375"/>
      <c r="B49" s="387"/>
      <c r="C49" s="373" t="s">
        <v>50</v>
      </c>
      <c r="D49" s="293">
        <v>0</v>
      </c>
      <c r="E49" s="375"/>
      <c r="F49" s="387"/>
      <c r="G49" s="373" t="s">
        <v>50</v>
      </c>
      <c r="H49" s="293">
        <v>0</v>
      </c>
    </row>
    <row r="50" spans="1:8" ht="15" customHeight="1">
      <c r="A50" s="375"/>
      <c r="B50" s="387"/>
      <c r="C50" s="373" t="s">
        <v>317</v>
      </c>
      <c r="D50" s="293">
        <v>0</v>
      </c>
      <c r="E50" s="375"/>
      <c r="F50" s="387"/>
      <c r="G50" s="373" t="s">
        <v>317</v>
      </c>
      <c r="H50" s="293">
        <v>0</v>
      </c>
    </row>
    <row r="51" spans="1:8" ht="15" customHeight="1">
      <c r="A51" s="375"/>
      <c r="B51" s="387"/>
      <c r="C51" s="373" t="s">
        <v>315</v>
      </c>
      <c r="D51" s="293">
        <v>0</v>
      </c>
      <c r="E51" s="375"/>
      <c r="F51" s="387"/>
      <c r="G51" s="373" t="s">
        <v>315</v>
      </c>
      <c r="H51" s="293">
        <v>0</v>
      </c>
    </row>
    <row r="52" spans="1:8" ht="15" customHeight="1">
      <c r="A52" s="377"/>
      <c r="B52" s="388"/>
      <c r="C52" s="272" t="s">
        <v>365</v>
      </c>
      <c r="D52" s="293">
        <v>100</v>
      </c>
      <c r="E52" s="377"/>
      <c r="F52" s="388"/>
      <c r="G52" s="272" t="s">
        <v>365</v>
      </c>
      <c r="H52" s="293">
        <v>100</v>
      </c>
    </row>
    <row r="53" spans="1:8" ht="15" customHeight="1">
      <c r="A53" s="378"/>
      <c r="B53" s="389"/>
      <c r="C53" s="390"/>
      <c r="D53" s="303">
        <v>0</v>
      </c>
      <c r="E53" s="378"/>
      <c r="F53" s="389"/>
      <c r="G53" s="390"/>
      <c r="H53" s="303">
        <v>0</v>
      </c>
    </row>
    <row r="54" spans="1:8" ht="15" customHeight="1">
      <c r="A54" s="380" t="s">
        <v>295</v>
      </c>
      <c r="B54" s="381">
        <f>SUM(B44:B53)</f>
        <v>9500</v>
      </c>
      <c r="C54" s="382" t="s">
        <v>296</v>
      </c>
      <c r="D54" s="383">
        <f>SUM(D44:D53)</f>
        <v>1797</v>
      </c>
      <c r="E54" s="380" t="s">
        <v>295</v>
      </c>
      <c r="F54" s="381">
        <f>SUM(F44:F53)</f>
        <v>9500</v>
      </c>
      <c r="G54" s="382" t="s">
        <v>296</v>
      </c>
      <c r="H54" s="383">
        <f>SUM(H44:H53)</f>
        <v>800</v>
      </c>
    </row>
    <row r="55" spans="1:8" ht="15" customHeight="1">
      <c r="A55" s="586" t="s">
        <v>48</v>
      </c>
      <c r="B55" s="586"/>
      <c r="C55" s="587">
        <f>B54-D54</f>
        <v>7703</v>
      </c>
      <c r="D55" s="588"/>
      <c r="E55" s="577" t="s">
        <v>48</v>
      </c>
      <c r="F55" s="578"/>
      <c r="G55" s="579">
        <f>F54-H54</f>
        <v>8700</v>
      </c>
      <c r="H55" s="580"/>
    </row>
    <row r="56" spans="1:8" ht="15" customHeight="1">
      <c r="A56" s="391"/>
      <c r="B56" s="391"/>
      <c r="C56" s="392"/>
      <c r="D56" s="393"/>
      <c r="E56" s="391"/>
      <c r="F56" s="391"/>
      <c r="G56" s="392"/>
      <c r="H56" s="392"/>
    </row>
    <row r="57" spans="1:8" ht="15" customHeight="1">
      <c r="A57" s="364" t="s">
        <v>246</v>
      </c>
      <c r="C57" s="364" t="s">
        <v>247</v>
      </c>
      <c r="E57" s="364" t="s">
        <v>246</v>
      </c>
      <c r="G57" s="364" t="s">
        <v>247</v>
      </c>
    </row>
    <row r="59" spans="1:8" ht="15" customHeight="1">
      <c r="A59" s="414" t="s">
        <v>249</v>
      </c>
      <c r="C59" s="414" t="s">
        <v>142</v>
      </c>
      <c r="E59" s="414" t="s">
        <v>249</v>
      </c>
      <c r="G59" s="414" t="s">
        <v>142</v>
      </c>
    </row>
    <row r="60" spans="1:8" ht="15" customHeight="1">
      <c r="A60" s="364" t="s">
        <v>208</v>
      </c>
      <c r="C60" s="364" t="s">
        <v>393</v>
      </c>
      <c r="E60" s="364" t="s">
        <v>208</v>
      </c>
      <c r="G60" s="364" t="s">
        <v>393</v>
      </c>
    </row>
    <row r="61" spans="1:8" ht="15" customHeight="1">
      <c r="A61" s="391"/>
      <c r="B61" s="391"/>
      <c r="C61" s="392"/>
      <c r="D61" s="393"/>
      <c r="E61" s="391"/>
      <c r="F61" s="391"/>
      <c r="G61" s="392"/>
      <c r="H61" s="392"/>
    </row>
    <row r="62" spans="1:8" ht="15" customHeight="1">
      <c r="A62" s="391"/>
      <c r="B62" s="391"/>
      <c r="C62" s="392"/>
      <c r="D62" s="393"/>
      <c r="E62" s="391"/>
      <c r="F62" s="391"/>
      <c r="G62" s="392"/>
      <c r="H62" s="392"/>
    </row>
    <row r="63" spans="1:8" ht="15" customHeight="1">
      <c r="A63" s="361"/>
      <c r="B63" s="362"/>
      <c r="C63" s="362"/>
      <c r="D63" s="363"/>
      <c r="E63" s="361"/>
      <c r="F63" s="362"/>
      <c r="G63" s="362"/>
      <c r="H63" s="363"/>
    </row>
    <row r="64" spans="1:8" ht="15" customHeight="1">
      <c r="A64" s="365"/>
      <c r="D64" s="366"/>
      <c r="E64" s="365"/>
      <c r="H64" s="366"/>
    </row>
    <row r="65" spans="1:8" ht="15" customHeight="1">
      <c r="A65" s="365"/>
      <c r="D65" s="366"/>
      <c r="E65" s="365"/>
      <c r="H65" s="366"/>
    </row>
    <row r="66" spans="1:8" ht="15" customHeight="1">
      <c r="A66" s="365"/>
      <c r="D66" s="366"/>
      <c r="E66" s="365"/>
      <c r="H66" s="366"/>
    </row>
    <row r="67" spans="1:8" ht="15" customHeight="1">
      <c r="A67" s="365"/>
      <c r="D67" s="366"/>
      <c r="E67" s="365"/>
      <c r="H67" s="366"/>
    </row>
    <row r="68" spans="1:8" ht="15" customHeight="1">
      <c r="A68" s="367" t="s">
        <v>36</v>
      </c>
      <c r="B68" s="368" t="s">
        <v>385</v>
      </c>
      <c r="C68" s="369"/>
      <c r="D68" s="370"/>
      <c r="E68" s="367" t="s">
        <v>36</v>
      </c>
      <c r="F68" s="371" t="s">
        <v>386</v>
      </c>
      <c r="G68" s="369"/>
      <c r="H68" s="370"/>
    </row>
    <row r="69" spans="1:8" ht="15" customHeight="1">
      <c r="A69" s="367" t="s">
        <v>283</v>
      </c>
      <c r="B69" s="394" t="str">
        <f>B7</f>
        <v>: 30 JUNE 2026</v>
      </c>
      <c r="C69" s="369"/>
      <c r="D69" s="370"/>
      <c r="E69" s="367" t="s">
        <v>283</v>
      </c>
      <c r="F69" s="368" t="str">
        <f>B7</f>
        <v>: 30 JUNE 2026</v>
      </c>
      <c r="G69" s="369"/>
      <c r="H69" s="370"/>
    </row>
    <row r="70" spans="1:8" ht="15" customHeight="1">
      <c r="A70" s="367" t="s">
        <v>284</v>
      </c>
      <c r="B70" s="371" t="str">
        <f>B8</f>
        <v>: 06/11/2026 - 06/25/2026</v>
      </c>
      <c r="C70" s="369"/>
      <c r="D70" s="370"/>
      <c r="E70" s="367" t="s">
        <v>284</v>
      </c>
      <c r="F70" s="371" t="str">
        <f>B8</f>
        <v>: 06/11/2026 - 06/25/2026</v>
      </c>
      <c r="G70" s="369"/>
      <c r="H70" s="370"/>
    </row>
    <row r="71" spans="1:8" ht="15" customHeight="1">
      <c r="A71" s="367" t="s">
        <v>285</v>
      </c>
      <c r="B71" s="371" t="s">
        <v>391</v>
      </c>
      <c r="C71" s="369"/>
      <c r="D71" s="370"/>
      <c r="E71" s="367" t="s">
        <v>285</v>
      </c>
      <c r="F71" s="371" t="s">
        <v>391</v>
      </c>
      <c r="G71" s="369"/>
      <c r="H71" s="370"/>
    </row>
    <row r="72" spans="1:8" ht="15" customHeight="1">
      <c r="A72" s="367" t="s">
        <v>286</v>
      </c>
      <c r="B72" s="368" t="s">
        <v>350</v>
      </c>
      <c r="C72" s="369"/>
      <c r="D72" s="370"/>
      <c r="E72" s="367" t="s">
        <v>286</v>
      </c>
      <c r="F72" s="368" t="s">
        <v>350</v>
      </c>
      <c r="G72" s="369"/>
      <c r="H72" s="370"/>
    </row>
    <row r="73" spans="1:8" ht="15" customHeight="1">
      <c r="A73" s="583" t="s">
        <v>287</v>
      </c>
      <c r="B73" s="584"/>
      <c r="C73" s="581" t="s">
        <v>288</v>
      </c>
      <c r="D73" s="582"/>
      <c r="E73" s="583" t="s">
        <v>287</v>
      </c>
      <c r="F73" s="584"/>
      <c r="G73" s="581" t="s">
        <v>288</v>
      </c>
      <c r="H73" s="582"/>
    </row>
    <row r="74" spans="1:8" ht="15" customHeight="1">
      <c r="A74" s="372" t="s">
        <v>289</v>
      </c>
      <c r="B74" s="307">
        <v>7000</v>
      </c>
      <c r="C74" s="373" t="s">
        <v>149</v>
      </c>
      <c r="D74" s="293">
        <v>0</v>
      </c>
      <c r="E74" s="372" t="s">
        <v>289</v>
      </c>
      <c r="F74" s="307">
        <v>7000</v>
      </c>
      <c r="G74" s="373" t="s">
        <v>149</v>
      </c>
      <c r="H74" s="293">
        <v>0</v>
      </c>
    </row>
    <row r="75" spans="1:8" ht="15" customHeight="1">
      <c r="A75" s="374" t="s">
        <v>291</v>
      </c>
      <c r="B75" s="289">
        <v>2500</v>
      </c>
      <c r="C75" s="373" t="s">
        <v>293</v>
      </c>
      <c r="D75" s="293">
        <v>0</v>
      </c>
      <c r="E75" s="374" t="s">
        <v>291</v>
      </c>
      <c r="F75" s="289">
        <v>2500</v>
      </c>
      <c r="G75" s="373" t="s">
        <v>293</v>
      </c>
      <c r="H75" s="293">
        <v>0</v>
      </c>
    </row>
    <row r="76" spans="1:8" ht="15" customHeight="1">
      <c r="A76" s="374" t="s">
        <v>297</v>
      </c>
      <c r="B76" s="289">
        <v>0</v>
      </c>
      <c r="C76" s="373" t="s">
        <v>146</v>
      </c>
      <c r="D76" s="293">
        <v>700</v>
      </c>
      <c r="E76" s="374" t="s">
        <v>297</v>
      </c>
      <c r="F76" s="289">
        <v>0</v>
      </c>
      <c r="G76" s="373" t="s">
        <v>146</v>
      </c>
      <c r="H76" s="293">
        <v>600</v>
      </c>
    </row>
    <row r="77" spans="1:8" ht="15" customHeight="1">
      <c r="A77" s="374" t="s">
        <v>187</v>
      </c>
      <c r="B77" s="289">
        <v>0</v>
      </c>
      <c r="C77" s="373" t="s">
        <v>314</v>
      </c>
      <c r="D77" s="293">
        <v>0</v>
      </c>
      <c r="E77" s="374" t="s">
        <v>187</v>
      </c>
      <c r="F77" s="289">
        <v>0</v>
      </c>
      <c r="G77" s="373" t="s">
        <v>314</v>
      </c>
      <c r="H77" s="293">
        <v>0</v>
      </c>
    </row>
    <row r="78" spans="1:8" ht="15" customHeight="1">
      <c r="A78" s="374" t="s">
        <v>298</v>
      </c>
      <c r="B78" s="289">
        <v>0</v>
      </c>
      <c r="C78" s="373" t="s">
        <v>294</v>
      </c>
      <c r="D78" s="293">
        <v>0</v>
      </c>
      <c r="E78" s="374" t="s">
        <v>298</v>
      </c>
      <c r="F78" s="289">
        <v>0</v>
      </c>
      <c r="G78" s="373" t="s">
        <v>294</v>
      </c>
      <c r="H78" s="293">
        <v>0</v>
      </c>
    </row>
    <row r="79" spans="1:8" ht="15" customHeight="1">
      <c r="A79" s="375"/>
      <c r="B79" s="387"/>
      <c r="C79" s="373" t="s">
        <v>50</v>
      </c>
      <c r="D79" s="293">
        <v>0</v>
      </c>
      <c r="E79" s="375"/>
      <c r="F79" s="290"/>
      <c r="G79" s="373" t="s">
        <v>50</v>
      </c>
      <c r="H79" s="293">
        <v>0</v>
      </c>
    </row>
    <row r="80" spans="1:8" ht="15" customHeight="1">
      <c r="A80" s="375"/>
      <c r="B80" s="387"/>
      <c r="C80" s="373" t="s">
        <v>317</v>
      </c>
      <c r="D80" s="293">
        <v>500</v>
      </c>
      <c r="E80" s="375"/>
      <c r="F80" s="290"/>
      <c r="G80" s="373" t="s">
        <v>317</v>
      </c>
      <c r="H80" s="293">
        <v>0</v>
      </c>
    </row>
    <row r="81" spans="1:8" ht="15" customHeight="1">
      <c r="A81" s="375"/>
      <c r="B81" s="387"/>
      <c r="C81" s="373" t="s">
        <v>315</v>
      </c>
      <c r="D81" s="293">
        <v>0</v>
      </c>
      <c r="E81" s="375"/>
      <c r="F81" s="290"/>
      <c r="G81" s="373" t="s">
        <v>315</v>
      </c>
      <c r="H81" s="293">
        <v>0</v>
      </c>
    </row>
    <row r="82" spans="1:8" ht="15" customHeight="1">
      <c r="A82" s="377"/>
      <c r="B82" s="388"/>
      <c r="C82" s="272" t="s">
        <v>365</v>
      </c>
      <c r="D82" s="293">
        <v>100</v>
      </c>
      <c r="E82" s="377"/>
      <c r="F82" s="291"/>
      <c r="G82" s="272" t="s">
        <v>365</v>
      </c>
      <c r="H82" s="293">
        <v>100</v>
      </c>
    </row>
    <row r="83" spans="1:8" ht="15" customHeight="1">
      <c r="A83" s="378"/>
      <c r="B83" s="395"/>
      <c r="C83" s="379"/>
      <c r="D83" s="396"/>
      <c r="E83" s="378"/>
      <c r="F83" s="389"/>
      <c r="G83" s="390"/>
      <c r="H83" s="303">
        <v>0</v>
      </c>
    </row>
    <row r="84" spans="1:8" ht="15" customHeight="1">
      <c r="A84" s="380" t="s">
        <v>295</v>
      </c>
      <c r="B84" s="381">
        <f>SUM(B74:B83)</f>
        <v>9500</v>
      </c>
      <c r="C84" s="382" t="s">
        <v>296</v>
      </c>
      <c r="D84" s="383">
        <f>SUM(D74:D83)</f>
        <v>1300</v>
      </c>
      <c r="E84" s="380" t="s">
        <v>295</v>
      </c>
      <c r="F84" s="381">
        <f>SUM(F74:F83)</f>
        <v>9500</v>
      </c>
      <c r="G84" s="382" t="s">
        <v>296</v>
      </c>
      <c r="H84" s="383">
        <f>SUM(H74:H83)</f>
        <v>700</v>
      </c>
    </row>
    <row r="85" spans="1:8" ht="15" customHeight="1">
      <c r="A85" s="577" t="s">
        <v>48</v>
      </c>
      <c r="B85" s="578"/>
      <c r="C85" s="579">
        <f>B84-D84</f>
        <v>8200</v>
      </c>
      <c r="D85" s="580"/>
      <c r="E85" s="577" t="s">
        <v>48</v>
      </c>
      <c r="F85" s="578"/>
      <c r="G85" s="579">
        <f>F84-H84</f>
        <v>8800</v>
      </c>
      <c r="H85" s="580"/>
    </row>
    <row r="86" spans="1:8" ht="15" customHeight="1">
      <c r="E86" s="391"/>
      <c r="F86" s="391"/>
      <c r="G86" s="392"/>
      <c r="H86" s="392"/>
    </row>
    <row r="87" spans="1:8" ht="15" customHeight="1">
      <c r="A87" s="364" t="s">
        <v>246</v>
      </c>
      <c r="C87" s="364" t="s">
        <v>247</v>
      </c>
      <c r="E87" s="364" t="s">
        <v>246</v>
      </c>
      <c r="G87" s="364" t="s">
        <v>247</v>
      </c>
    </row>
    <row r="89" spans="1:8" ht="15" customHeight="1">
      <c r="A89" s="414" t="s">
        <v>249</v>
      </c>
      <c r="C89" s="414" t="s">
        <v>142</v>
      </c>
      <c r="E89" s="414" t="s">
        <v>249</v>
      </c>
      <c r="G89" s="414" t="s">
        <v>142</v>
      </c>
    </row>
    <row r="90" spans="1:8" ht="15" customHeight="1">
      <c r="A90" s="364" t="s">
        <v>208</v>
      </c>
      <c r="C90" s="364" t="s">
        <v>393</v>
      </c>
      <c r="E90" s="364" t="s">
        <v>208</v>
      </c>
      <c r="G90" s="364" t="s">
        <v>393</v>
      </c>
    </row>
    <row r="91" spans="1:8" ht="15" customHeight="1">
      <c r="E91" s="391"/>
      <c r="F91" s="391"/>
      <c r="G91" s="392"/>
      <c r="H91" s="392"/>
    </row>
    <row r="92" spans="1:8" ht="15" customHeight="1">
      <c r="E92" s="391"/>
      <c r="F92" s="391"/>
      <c r="G92" s="392"/>
      <c r="H92" s="392"/>
    </row>
    <row r="93" spans="1:8" ht="15" customHeight="1">
      <c r="E93" s="391"/>
      <c r="F93" s="391"/>
      <c r="G93" s="392"/>
      <c r="H93" s="392"/>
    </row>
    <row r="94" spans="1:8" ht="15" customHeight="1">
      <c r="E94" s="391"/>
      <c r="F94" s="391"/>
      <c r="G94" s="392"/>
      <c r="H94" s="392"/>
    </row>
    <row r="95" spans="1:8" ht="15" customHeight="1">
      <c r="A95" s="361"/>
      <c r="B95" s="362"/>
      <c r="C95" s="362"/>
      <c r="D95" s="363"/>
      <c r="E95" s="361"/>
      <c r="F95" s="362"/>
      <c r="G95" s="362"/>
      <c r="H95" s="363"/>
    </row>
    <row r="96" spans="1:8" ht="15" customHeight="1">
      <c r="A96" s="365"/>
      <c r="D96" s="366"/>
      <c r="E96" s="365"/>
      <c r="H96" s="366"/>
    </row>
    <row r="97" spans="1:8" ht="15" customHeight="1">
      <c r="A97" s="365"/>
      <c r="D97" s="366"/>
      <c r="E97" s="365"/>
      <c r="H97" s="366"/>
    </row>
    <row r="98" spans="1:8" ht="15" customHeight="1">
      <c r="A98" s="365"/>
      <c r="D98" s="366"/>
      <c r="E98" s="365"/>
      <c r="H98" s="366"/>
    </row>
    <row r="99" spans="1:8" ht="15" customHeight="1">
      <c r="A99" s="365"/>
      <c r="D99" s="366"/>
      <c r="E99" s="365"/>
      <c r="H99" s="366"/>
    </row>
    <row r="100" spans="1:8" ht="15" customHeight="1">
      <c r="A100" s="367" t="s">
        <v>36</v>
      </c>
      <c r="B100" s="371" t="s">
        <v>387</v>
      </c>
      <c r="C100" s="369"/>
      <c r="D100" s="370"/>
      <c r="E100" s="367" t="s">
        <v>36</v>
      </c>
      <c r="F100" s="368" t="s">
        <v>351</v>
      </c>
      <c r="G100" s="369"/>
      <c r="H100" s="370"/>
    </row>
    <row r="101" spans="1:8" ht="15" customHeight="1">
      <c r="A101" s="367" t="s">
        <v>283</v>
      </c>
      <c r="B101" s="368" t="str">
        <f>B7</f>
        <v>: 30 JUNE 2026</v>
      </c>
      <c r="C101" s="369"/>
      <c r="D101" s="370"/>
      <c r="E101" s="367" t="s">
        <v>283</v>
      </c>
      <c r="F101" s="280" t="str">
        <f>B7</f>
        <v>: 30 JUNE 2026</v>
      </c>
      <c r="G101" s="369"/>
      <c r="H101" s="370"/>
    </row>
    <row r="102" spans="1:8" ht="15" customHeight="1">
      <c r="A102" s="367" t="s">
        <v>284</v>
      </c>
      <c r="B102" s="371" t="str">
        <f>B8</f>
        <v>: 06/11/2026 - 06/25/2026</v>
      </c>
      <c r="C102" s="369"/>
      <c r="D102" s="370"/>
      <c r="E102" s="367" t="s">
        <v>284</v>
      </c>
      <c r="F102" s="281" t="str">
        <f>B8</f>
        <v>: 06/11/2026 - 06/25/2026</v>
      </c>
      <c r="G102" s="369"/>
      <c r="H102" s="370"/>
    </row>
    <row r="103" spans="1:8" ht="15" customHeight="1">
      <c r="A103" s="367" t="s">
        <v>285</v>
      </c>
      <c r="B103" s="371" t="s">
        <v>391</v>
      </c>
      <c r="C103" s="369"/>
      <c r="D103" s="370"/>
      <c r="E103" s="367" t="s">
        <v>285</v>
      </c>
      <c r="F103" s="371" t="s">
        <v>391</v>
      </c>
      <c r="G103" s="369"/>
      <c r="H103" s="370"/>
    </row>
    <row r="104" spans="1:8" ht="15" customHeight="1">
      <c r="A104" s="367" t="s">
        <v>286</v>
      </c>
      <c r="B104" s="368" t="s">
        <v>392</v>
      </c>
      <c r="C104" s="369"/>
      <c r="D104" s="370"/>
      <c r="E104" s="367" t="s">
        <v>286</v>
      </c>
      <c r="F104" s="368" t="s">
        <v>392</v>
      </c>
      <c r="G104" s="369"/>
      <c r="H104" s="370"/>
    </row>
    <row r="105" spans="1:8" ht="15" customHeight="1">
      <c r="A105" s="583" t="s">
        <v>287</v>
      </c>
      <c r="B105" s="584"/>
      <c r="C105" s="581" t="s">
        <v>288</v>
      </c>
      <c r="D105" s="582"/>
      <c r="E105" s="583" t="s">
        <v>287</v>
      </c>
      <c r="F105" s="584"/>
      <c r="G105" s="581" t="s">
        <v>288</v>
      </c>
      <c r="H105" s="582"/>
    </row>
    <row r="106" spans="1:8" ht="15" customHeight="1">
      <c r="A106" s="372" t="s">
        <v>289</v>
      </c>
      <c r="B106" s="307">
        <v>8000</v>
      </c>
      <c r="C106" s="373" t="s">
        <v>149</v>
      </c>
      <c r="D106" s="293">
        <v>0</v>
      </c>
      <c r="E106" s="372" t="s">
        <v>289</v>
      </c>
      <c r="F106" s="307">
        <v>8500</v>
      </c>
      <c r="G106" s="373" t="s">
        <v>149</v>
      </c>
      <c r="H106" s="293">
        <v>0</v>
      </c>
    </row>
    <row r="107" spans="1:8" ht="15" customHeight="1">
      <c r="A107" s="374" t="s">
        <v>291</v>
      </c>
      <c r="B107" s="289">
        <v>3000</v>
      </c>
      <c r="C107" s="373" t="s">
        <v>293</v>
      </c>
      <c r="D107" s="293">
        <v>0</v>
      </c>
      <c r="E107" s="374" t="s">
        <v>291</v>
      </c>
      <c r="F107" s="289">
        <v>3000</v>
      </c>
      <c r="G107" s="373" t="s">
        <v>293</v>
      </c>
      <c r="H107" s="293">
        <v>0</v>
      </c>
    </row>
    <row r="108" spans="1:8" ht="15" customHeight="1">
      <c r="A108" s="374" t="s">
        <v>297</v>
      </c>
      <c r="B108" s="289">
        <v>0</v>
      </c>
      <c r="C108" s="373" t="s">
        <v>146</v>
      </c>
      <c r="D108" s="293">
        <v>800</v>
      </c>
      <c r="E108" s="374" t="s">
        <v>297</v>
      </c>
      <c r="F108" s="289">
        <v>0</v>
      </c>
      <c r="G108" s="373" t="s">
        <v>146</v>
      </c>
      <c r="H108" s="293">
        <v>850</v>
      </c>
    </row>
    <row r="109" spans="1:8" ht="15" customHeight="1">
      <c r="A109" s="374" t="s">
        <v>187</v>
      </c>
      <c r="B109" s="289">
        <v>0</v>
      </c>
      <c r="C109" s="373" t="s">
        <v>314</v>
      </c>
      <c r="D109" s="293">
        <v>0</v>
      </c>
      <c r="E109" s="374" t="s">
        <v>187</v>
      </c>
      <c r="F109" s="289">
        <v>0</v>
      </c>
      <c r="G109" s="373" t="s">
        <v>314</v>
      </c>
      <c r="H109" s="293">
        <v>0</v>
      </c>
    </row>
    <row r="110" spans="1:8" ht="15" customHeight="1">
      <c r="A110" s="374" t="s">
        <v>298</v>
      </c>
      <c r="B110" s="289">
        <v>0</v>
      </c>
      <c r="C110" s="373" t="s">
        <v>294</v>
      </c>
      <c r="D110" s="293">
        <v>0</v>
      </c>
      <c r="E110" s="374" t="s">
        <v>298</v>
      </c>
      <c r="F110" s="289">
        <v>0</v>
      </c>
      <c r="G110" s="373" t="s">
        <v>294</v>
      </c>
      <c r="H110" s="293">
        <v>0</v>
      </c>
    </row>
    <row r="111" spans="1:8" ht="15" customHeight="1">
      <c r="A111" s="375"/>
      <c r="B111" s="387"/>
      <c r="C111" s="373" t="s">
        <v>50</v>
      </c>
      <c r="D111" s="293">
        <v>0</v>
      </c>
      <c r="E111" s="375"/>
      <c r="F111" s="290"/>
      <c r="G111" s="373" t="s">
        <v>50</v>
      </c>
      <c r="H111" s="293">
        <v>0</v>
      </c>
    </row>
    <row r="112" spans="1:8" ht="15" customHeight="1">
      <c r="A112" s="375"/>
      <c r="B112" s="387"/>
      <c r="C112" s="373" t="s">
        <v>317</v>
      </c>
      <c r="D112" s="293">
        <v>0</v>
      </c>
      <c r="E112" s="375"/>
      <c r="F112" s="290"/>
      <c r="G112" s="373" t="s">
        <v>317</v>
      </c>
      <c r="H112" s="293">
        <v>0</v>
      </c>
    </row>
    <row r="113" spans="1:8" ht="15" customHeight="1">
      <c r="A113" s="375"/>
      <c r="B113" s="387"/>
      <c r="C113" s="373" t="s">
        <v>315</v>
      </c>
      <c r="D113" s="293">
        <v>0</v>
      </c>
      <c r="E113" s="376" t="s">
        <v>333</v>
      </c>
      <c r="F113" s="293">
        <v>0</v>
      </c>
      <c r="G113" s="373" t="s">
        <v>315</v>
      </c>
      <c r="H113" s="293">
        <v>0</v>
      </c>
    </row>
    <row r="114" spans="1:8" ht="15" customHeight="1">
      <c r="A114" s="377"/>
      <c r="B114" s="388"/>
      <c r="C114" s="272" t="s">
        <v>365</v>
      </c>
      <c r="D114" s="293">
        <v>100</v>
      </c>
      <c r="E114" s="377"/>
      <c r="F114" s="291"/>
      <c r="G114" s="272" t="s">
        <v>365</v>
      </c>
      <c r="H114" s="293">
        <v>100</v>
      </c>
    </row>
    <row r="115" spans="1:8" ht="15" customHeight="1">
      <c r="A115" s="378"/>
      <c r="B115" s="389"/>
      <c r="C115" s="390"/>
      <c r="D115" s="303">
        <v>0</v>
      </c>
      <c r="E115" s="378"/>
      <c r="F115" s="292"/>
      <c r="G115" s="379"/>
      <c r="H115" s="294"/>
    </row>
    <row r="116" spans="1:8" ht="15" customHeight="1">
      <c r="A116" s="380" t="s">
        <v>295</v>
      </c>
      <c r="B116" s="381">
        <f>SUM(B106:B115)</f>
        <v>11000</v>
      </c>
      <c r="C116" s="382" t="s">
        <v>296</v>
      </c>
      <c r="D116" s="383">
        <f>SUM(D106:D115)</f>
        <v>900</v>
      </c>
      <c r="E116" s="405" t="s">
        <v>295</v>
      </c>
      <c r="F116" s="406">
        <f>SUM(F106:F115)</f>
        <v>11500</v>
      </c>
      <c r="G116" s="407" t="s">
        <v>296</v>
      </c>
      <c r="H116" s="408">
        <f>SUM(H106:H115)</f>
        <v>950</v>
      </c>
    </row>
    <row r="117" spans="1:8" ht="15" customHeight="1">
      <c r="A117" s="577" t="s">
        <v>48</v>
      </c>
      <c r="B117" s="578"/>
      <c r="C117" s="579">
        <f>B116-D116</f>
        <v>10100</v>
      </c>
      <c r="D117" s="580"/>
      <c r="E117" s="577" t="s">
        <v>48</v>
      </c>
      <c r="F117" s="578"/>
      <c r="G117" s="579">
        <f>F116-H116</f>
        <v>10550</v>
      </c>
      <c r="H117" s="580"/>
    </row>
    <row r="118" spans="1:8" ht="15" customHeight="1">
      <c r="A118" s="391"/>
      <c r="B118" s="391"/>
      <c r="C118" s="392"/>
      <c r="D118" s="392"/>
    </row>
    <row r="119" spans="1:8" ht="15" customHeight="1">
      <c r="A119" s="364" t="s">
        <v>246</v>
      </c>
      <c r="C119" s="364" t="s">
        <v>247</v>
      </c>
      <c r="E119" s="364" t="s">
        <v>246</v>
      </c>
      <c r="G119" s="364" t="s">
        <v>247</v>
      </c>
    </row>
    <row r="121" spans="1:8" ht="15" customHeight="1">
      <c r="A121" s="414" t="s">
        <v>249</v>
      </c>
      <c r="C121" s="414" t="s">
        <v>142</v>
      </c>
      <c r="E121" s="414" t="s">
        <v>249</v>
      </c>
      <c r="G121" s="414" t="s">
        <v>142</v>
      </c>
    </row>
    <row r="122" spans="1:8" ht="15" customHeight="1">
      <c r="A122" s="364" t="s">
        <v>208</v>
      </c>
      <c r="C122" s="364" t="s">
        <v>393</v>
      </c>
      <c r="E122" s="364" t="s">
        <v>208</v>
      </c>
      <c r="G122" s="364" t="s">
        <v>393</v>
      </c>
    </row>
    <row r="123" spans="1:8" ht="15" customHeight="1">
      <c r="A123" s="391"/>
      <c r="B123" s="391"/>
      <c r="C123" s="392"/>
      <c r="D123" s="392"/>
    </row>
    <row r="124" spans="1:8" ht="15" customHeight="1">
      <c r="A124" s="391"/>
      <c r="B124" s="391"/>
      <c r="C124" s="392"/>
      <c r="D124" s="392"/>
    </row>
    <row r="125" spans="1:8" ht="15" customHeight="1">
      <c r="A125" s="361"/>
      <c r="B125" s="362"/>
      <c r="C125" s="362"/>
      <c r="D125" s="363"/>
      <c r="E125" s="361"/>
      <c r="F125" s="362"/>
      <c r="G125" s="362"/>
      <c r="H125" s="363"/>
    </row>
    <row r="126" spans="1:8" ht="15" customHeight="1">
      <c r="A126" s="365"/>
      <c r="D126" s="366"/>
      <c r="E126" s="365"/>
      <c r="H126" s="366"/>
    </row>
    <row r="127" spans="1:8" ht="15" customHeight="1">
      <c r="A127" s="365"/>
      <c r="D127" s="366"/>
      <c r="E127" s="365"/>
      <c r="H127" s="366"/>
    </row>
    <row r="128" spans="1:8" ht="15" customHeight="1">
      <c r="A128" s="365"/>
      <c r="D128" s="366"/>
      <c r="E128" s="365"/>
      <c r="H128" s="366"/>
    </row>
    <row r="129" spans="1:8" ht="15" customHeight="1">
      <c r="A129" s="365"/>
      <c r="D129" s="366"/>
      <c r="E129" s="365"/>
      <c r="H129" s="366"/>
    </row>
    <row r="130" spans="1:8" ht="15" customHeight="1">
      <c r="A130" s="367" t="s">
        <v>36</v>
      </c>
      <c r="B130" s="371" t="s">
        <v>388</v>
      </c>
      <c r="C130" s="369"/>
      <c r="D130" s="370"/>
      <c r="E130" s="367" t="s">
        <v>36</v>
      </c>
      <c r="F130" s="371" t="s">
        <v>389</v>
      </c>
      <c r="G130" s="369"/>
      <c r="H130" s="370"/>
    </row>
    <row r="131" spans="1:8" ht="15" customHeight="1">
      <c r="A131" s="367" t="s">
        <v>283</v>
      </c>
      <c r="B131" s="394" t="str">
        <f>B7</f>
        <v>: 30 JUNE 2026</v>
      </c>
      <c r="C131" s="369"/>
      <c r="D131" s="370"/>
      <c r="E131" s="367" t="s">
        <v>283</v>
      </c>
      <c r="F131" s="394" t="str">
        <f>B69</f>
        <v>: 30 JUNE 2026</v>
      </c>
      <c r="G131" s="369"/>
      <c r="H131" s="370"/>
    </row>
    <row r="132" spans="1:8" ht="15" customHeight="1">
      <c r="A132" s="367" t="s">
        <v>284</v>
      </c>
      <c r="B132" s="371" t="str">
        <f>B8</f>
        <v>: 06/11/2026 - 06/25/2026</v>
      </c>
      <c r="C132" s="369"/>
      <c r="D132" s="370"/>
      <c r="E132" s="367" t="s">
        <v>284</v>
      </c>
      <c r="F132" s="371" t="str">
        <f>B70</f>
        <v>: 06/11/2026 - 06/25/2026</v>
      </c>
      <c r="G132" s="369"/>
      <c r="H132" s="370"/>
    </row>
    <row r="133" spans="1:8" ht="15" customHeight="1">
      <c r="A133" s="367" t="s">
        <v>285</v>
      </c>
      <c r="B133" s="371" t="s">
        <v>391</v>
      </c>
      <c r="C133" s="369"/>
      <c r="D133" s="370"/>
      <c r="E133" s="367" t="s">
        <v>285</v>
      </c>
      <c r="F133" s="371" t="s">
        <v>391</v>
      </c>
      <c r="G133" s="369"/>
      <c r="H133" s="370"/>
    </row>
    <row r="134" spans="1:8" ht="15" customHeight="1">
      <c r="A134" s="367" t="s">
        <v>286</v>
      </c>
      <c r="B134" s="368" t="s">
        <v>350</v>
      </c>
      <c r="C134" s="369"/>
      <c r="D134" s="370"/>
      <c r="E134" s="367" t="s">
        <v>286</v>
      </c>
      <c r="F134" s="368" t="s">
        <v>350</v>
      </c>
      <c r="G134" s="369"/>
      <c r="H134" s="370"/>
    </row>
    <row r="135" spans="1:8" ht="15" customHeight="1">
      <c r="A135" s="583" t="s">
        <v>287</v>
      </c>
      <c r="B135" s="584"/>
      <c r="C135" s="581" t="s">
        <v>288</v>
      </c>
      <c r="D135" s="582"/>
      <c r="E135" s="583" t="s">
        <v>287</v>
      </c>
      <c r="F135" s="584"/>
      <c r="G135" s="581" t="s">
        <v>288</v>
      </c>
      <c r="H135" s="582"/>
    </row>
    <row r="136" spans="1:8" ht="15" customHeight="1">
      <c r="A136" s="372" t="s">
        <v>289</v>
      </c>
      <c r="B136" s="307">
        <v>7000</v>
      </c>
      <c r="C136" s="373" t="s">
        <v>149</v>
      </c>
      <c r="D136" s="293">
        <v>0</v>
      </c>
      <c r="E136" s="372" t="s">
        <v>289</v>
      </c>
      <c r="F136" s="307">
        <v>6000</v>
      </c>
      <c r="G136" s="373" t="s">
        <v>149</v>
      </c>
      <c r="H136" s="293">
        <v>0</v>
      </c>
    </row>
    <row r="137" spans="1:8" ht="15" customHeight="1">
      <c r="A137" s="374" t="s">
        <v>291</v>
      </c>
      <c r="B137" s="289">
        <v>2500</v>
      </c>
      <c r="C137" s="373" t="s">
        <v>293</v>
      </c>
      <c r="D137" s="293">
        <v>0</v>
      </c>
      <c r="E137" s="374" t="s">
        <v>291</v>
      </c>
      <c r="F137" s="289">
        <v>2500</v>
      </c>
      <c r="G137" s="373" t="s">
        <v>293</v>
      </c>
      <c r="H137" s="293">
        <v>0</v>
      </c>
    </row>
    <row r="138" spans="1:8" ht="15" customHeight="1">
      <c r="A138" s="374" t="s">
        <v>297</v>
      </c>
      <c r="B138" s="289">
        <v>0</v>
      </c>
      <c r="C138" s="373" t="s">
        <v>146</v>
      </c>
      <c r="D138" s="293">
        <v>600</v>
      </c>
      <c r="E138" s="374" t="s">
        <v>297</v>
      </c>
      <c r="F138" s="289">
        <v>0</v>
      </c>
      <c r="G138" s="373" t="s">
        <v>146</v>
      </c>
      <c r="H138" s="293">
        <v>600</v>
      </c>
    </row>
    <row r="139" spans="1:8" ht="15" customHeight="1">
      <c r="A139" s="374" t="s">
        <v>187</v>
      </c>
      <c r="B139" s="289">
        <v>0</v>
      </c>
      <c r="C139" s="373" t="s">
        <v>314</v>
      </c>
      <c r="D139" s="293">
        <v>0</v>
      </c>
      <c r="E139" s="374" t="s">
        <v>187</v>
      </c>
      <c r="F139" s="289">
        <v>0</v>
      </c>
      <c r="G139" s="373" t="s">
        <v>314</v>
      </c>
      <c r="H139" s="293">
        <v>0</v>
      </c>
    </row>
    <row r="140" spans="1:8" ht="15" customHeight="1">
      <c r="A140" s="374" t="s">
        <v>298</v>
      </c>
      <c r="B140" s="289">
        <v>0</v>
      </c>
      <c r="C140" s="373" t="s">
        <v>294</v>
      </c>
      <c r="D140" s="293">
        <v>0</v>
      </c>
      <c r="E140" s="374" t="s">
        <v>298</v>
      </c>
      <c r="F140" s="289">
        <v>0</v>
      </c>
      <c r="G140" s="373" t="s">
        <v>294</v>
      </c>
      <c r="H140" s="293">
        <v>0</v>
      </c>
    </row>
    <row r="141" spans="1:8" ht="15" customHeight="1">
      <c r="A141" s="375"/>
      <c r="B141" s="290"/>
      <c r="C141" s="373" t="s">
        <v>50</v>
      </c>
      <c r="D141" s="293">
        <v>0</v>
      </c>
      <c r="E141" s="375"/>
      <c r="F141" s="290"/>
      <c r="G141" s="373" t="s">
        <v>50</v>
      </c>
      <c r="H141" s="293">
        <v>0</v>
      </c>
    </row>
    <row r="142" spans="1:8" ht="15" customHeight="1">
      <c r="A142" s="375"/>
      <c r="B142" s="290"/>
      <c r="C142" s="373" t="s">
        <v>317</v>
      </c>
      <c r="D142" s="293">
        <v>0</v>
      </c>
      <c r="E142" s="375"/>
      <c r="F142" s="290"/>
      <c r="G142" s="373" t="s">
        <v>317</v>
      </c>
      <c r="H142" s="293">
        <v>0</v>
      </c>
    </row>
    <row r="143" spans="1:8" ht="15" customHeight="1">
      <c r="A143" s="375"/>
      <c r="B143" s="290"/>
      <c r="C143" s="373" t="s">
        <v>315</v>
      </c>
      <c r="D143" s="293">
        <v>0</v>
      </c>
      <c r="E143" s="375"/>
      <c r="F143" s="290"/>
      <c r="G143" s="373" t="s">
        <v>315</v>
      </c>
      <c r="H143" s="293">
        <v>0</v>
      </c>
    </row>
    <row r="144" spans="1:8" ht="15" customHeight="1">
      <c r="A144" s="377"/>
      <c r="B144" s="291"/>
      <c r="C144" s="272" t="s">
        <v>365</v>
      </c>
      <c r="D144" s="293">
        <v>100</v>
      </c>
      <c r="E144" s="377"/>
      <c r="F144" s="291"/>
      <c r="G144" s="272" t="s">
        <v>365</v>
      </c>
      <c r="H144" s="293">
        <v>100</v>
      </c>
    </row>
    <row r="145" spans="1:8" ht="15" customHeight="1">
      <c r="A145" s="378"/>
      <c r="B145" s="389"/>
      <c r="C145" s="390"/>
      <c r="D145" s="303">
        <v>0</v>
      </c>
      <c r="E145" s="378"/>
      <c r="F145" s="389"/>
      <c r="G145" s="390"/>
      <c r="H145" s="303">
        <v>0</v>
      </c>
    </row>
    <row r="146" spans="1:8" ht="15" customHeight="1">
      <c r="A146" s="380" t="s">
        <v>295</v>
      </c>
      <c r="B146" s="381">
        <f>SUM(B136:B145)</f>
        <v>9500</v>
      </c>
      <c r="C146" s="382" t="s">
        <v>296</v>
      </c>
      <c r="D146" s="383">
        <f>SUM(D136:D145)</f>
        <v>700</v>
      </c>
      <c r="E146" s="380" t="s">
        <v>295</v>
      </c>
      <c r="F146" s="381">
        <f>SUM(F136:F145)</f>
        <v>8500</v>
      </c>
      <c r="G146" s="382" t="s">
        <v>296</v>
      </c>
      <c r="H146" s="383">
        <f>SUM(H136:H145)</f>
        <v>700</v>
      </c>
    </row>
    <row r="147" spans="1:8" ht="15" customHeight="1">
      <c r="A147" s="577" t="s">
        <v>48</v>
      </c>
      <c r="B147" s="578"/>
      <c r="C147" s="579">
        <f>B146-D146</f>
        <v>8800</v>
      </c>
      <c r="D147" s="580"/>
      <c r="E147" s="577" t="s">
        <v>48</v>
      </c>
      <c r="F147" s="578"/>
      <c r="G147" s="579">
        <f>F146-H146</f>
        <v>7800</v>
      </c>
      <c r="H147" s="580"/>
    </row>
    <row r="149" spans="1:8" ht="15" customHeight="1">
      <c r="A149" s="364" t="s">
        <v>246</v>
      </c>
      <c r="C149" s="364" t="s">
        <v>247</v>
      </c>
      <c r="E149" s="364" t="s">
        <v>246</v>
      </c>
      <c r="G149" s="364" t="s">
        <v>247</v>
      </c>
    </row>
    <row r="151" spans="1:8" ht="15" customHeight="1">
      <c r="A151" s="414" t="s">
        <v>249</v>
      </c>
      <c r="C151" s="414" t="s">
        <v>142</v>
      </c>
      <c r="E151" s="414" t="s">
        <v>249</v>
      </c>
      <c r="G151" s="414" t="s">
        <v>142</v>
      </c>
    </row>
    <row r="152" spans="1:8" ht="15" customHeight="1">
      <c r="A152" s="364" t="s">
        <v>208</v>
      </c>
      <c r="C152" s="364" t="s">
        <v>393</v>
      </c>
      <c r="E152" s="364" t="s">
        <v>208</v>
      </c>
      <c r="G152" s="364" t="s">
        <v>393</v>
      </c>
    </row>
    <row r="157" spans="1:8" ht="15" customHeight="1">
      <c r="A157" s="361"/>
      <c r="B157" s="362"/>
      <c r="C157" s="362"/>
      <c r="D157" s="363"/>
      <c r="E157" s="361"/>
      <c r="F157" s="362"/>
      <c r="G157" s="362"/>
      <c r="H157" s="363"/>
    </row>
    <row r="158" spans="1:8" ht="15" customHeight="1">
      <c r="A158" s="365"/>
      <c r="D158" s="366"/>
      <c r="E158" s="365"/>
      <c r="H158" s="366"/>
    </row>
    <row r="159" spans="1:8" ht="15" customHeight="1">
      <c r="A159" s="365"/>
      <c r="D159" s="366"/>
      <c r="E159" s="365"/>
      <c r="H159" s="366"/>
    </row>
    <row r="160" spans="1:8" ht="15" customHeight="1">
      <c r="A160" s="365"/>
      <c r="D160" s="366"/>
      <c r="E160" s="365"/>
      <c r="H160" s="366"/>
    </row>
    <row r="161" spans="1:8" ht="15" customHeight="1">
      <c r="A161" s="365"/>
      <c r="D161" s="366"/>
      <c r="E161" s="365"/>
      <c r="H161" s="366"/>
    </row>
    <row r="162" spans="1:8" ht="15" customHeight="1">
      <c r="A162" s="367" t="s">
        <v>36</v>
      </c>
      <c r="B162" s="371" t="s">
        <v>381</v>
      </c>
      <c r="C162" s="369"/>
      <c r="D162" s="370"/>
      <c r="E162" s="367" t="s">
        <v>36</v>
      </c>
      <c r="F162" s="368" t="s">
        <v>390</v>
      </c>
      <c r="G162" s="369"/>
      <c r="H162" s="370"/>
    </row>
    <row r="163" spans="1:8" ht="15" customHeight="1">
      <c r="A163" s="367" t="s">
        <v>283</v>
      </c>
      <c r="B163" s="394" t="str">
        <f>B7</f>
        <v>: 30 JUNE 2026</v>
      </c>
      <c r="C163" s="369"/>
      <c r="D163" s="370"/>
      <c r="E163" s="367" t="s">
        <v>283</v>
      </c>
      <c r="F163" s="394" t="str">
        <f>B7</f>
        <v>: 30 JUNE 2026</v>
      </c>
      <c r="G163" s="369"/>
      <c r="H163" s="370"/>
    </row>
    <row r="164" spans="1:8" ht="15" customHeight="1">
      <c r="A164" s="367" t="s">
        <v>284</v>
      </c>
      <c r="B164" s="371" t="str">
        <f>B8</f>
        <v>: 06/11/2026 - 06/25/2026</v>
      </c>
      <c r="C164" s="369"/>
      <c r="D164" s="370"/>
      <c r="E164" s="367" t="s">
        <v>284</v>
      </c>
      <c r="F164" s="371" t="str">
        <f>B8</f>
        <v>: 06/11/2026 - 06/25/2026</v>
      </c>
      <c r="G164" s="369"/>
      <c r="H164" s="370"/>
    </row>
    <row r="165" spans="1:8" ht="15" customHeight="1">
      <c r="A165" s="367" t="s">
        <v>285</v>
      </c>
      <c r="B165" s="368" t="s">
        <v>304</v>
      </c>
      <c r="C165" s="369"/>
      <c r="D165" s="370"/>
      <c r="E165" s="367" t="s">
        <v>285</v>
      </c>
      <c r="F165" s="371" t="s">
        <v>391</v>
      </c>
      <c r="G165" s="369"/>
      <c r="H165" s="370"/>
    </row>
    <row r="166" spans="1:8" ht="15" customHeight="1">
      <c r="A166" s="367" t="s">
        <v>286</v>
      </c>
      <c r="B166" s="368" t="s">
        <v>305</v>
      </c>
      <c r="C166" s="369"/>
      <c r="D166" s="370"/>
      <c r="E166" s="367" t="s">
        <v>286</v>
      </c>
      <c r="F166" s="368" t="s">
        <v>350</v>
      </c>
      <c r="G166" s="369"/>
      <c r="H166" s="370"/>
    </row>
    <row r="167" spans="1:8" ht="15" customHeight="1">
      <c r="A167" s="583" t="s">
        <v>287</v>
      </c>
      <c r="B167" s="584"/>
      <c r="C167" s="581" t="s">
        <v>288</v>
      </c>
      <c r="D167" s="582"/>
      <c r="E167" s="583" t="s">
        <v>287</v>
      </c>
      <c r="F167" s="584"/>
      <c r="G167" s="581" t="s">
        <v>288</v>
      </c>
      <c r="H167" s="582"/>
    </row>
    <row r="168" spans="1:8" ht="15" customHeight="1">
      <c r="A168" s="372" t="s">
        <v>289</v>
      </c>
      <c r="B168" s="307">
        <v>7500</v>
      </c>
      <c r="C168" s="373" t="s">
        <v>149</v>
      </c>
      <c r="D168" s="293">
        <v>0</v>
      </c>
      <c r="E168" s="372" t="s">
        <v>289</v>
      </c>
      <c r="F168" s="307">
        <v>8500</v>
      </c>
      <c r="G168" s="373" t="s">
        <v>149</v>
      </c>
      <c r="H168" s="293">
        <v>1000</v>
      </c>
    </row>
    <row r="169" spans="1:8" ht="15" customHeight="1">
      <c r="A169" s="374" t="s">
        <v>291</v>
      </c>
      <c r="B169" s="289">
        <v>2500</v>
      </c>
      <c r="C169" s="373" t="s">
        <v>293</v>
      </c>
      <c r="D169" s="293">
        <v>0</v>
      </c>
      <c r="E169" s="374" t="s">
        <v>291</v>
      </c>
      <c r="F169" s="289">
        <v>0</v>
      </c>
      <c r="G169" s="373" t="s">
        <v>293</v>
      </c>
      <c r="H169" s="293">
        <v>0</v>
      </c>
    </row>
    <row r="170" spans="1:8" ht="15" customHeight="1">
      <c r="A170" s="374" t="s">
        <v>297</v>
      </c>
      <c r="B170" s="289">
        <v>0</v>
      </c>
      <c r="C170" s="373" t="s">
        <v>146</v>
      </c>
      <c r="D170" s="293">
        <v>0</v>
      </c>
      <c r="E170" s="374" t="s">
        <v>297</v>
      </c>
      <c r="F170" s="289">
        <v>0</v>
      </c>
      <c r="G170" s="373" t="s">
        <v>146</v>
      </c>
      <c r="H170" s="293">
        <v>850</v>
      </c>
    </row>
    <row r="171" spans="1:8" ht="15" customHeight="1">
      <c r="A171" s="374" t="s">
        <v>187</v>
      </c>
      <c r="B171" s="289">
        <v>0</v>
      </c>
      <c r="C171" s="373" t="s">
        <v>314</v>
      </c>
      <c r="D171" s="293">
        <v>750</v>
      </c>
      <c r="E171" s="374" t="s">
        <v>187</v>
      </c>
      <c r="F171" s="289">
        <v>0</v>
      </c>
      <c r="G171" s="373" t="s">
        <v>314</v>
      </c>
      <c r="H171" s="293">
        <v>0</v>
      </c>
    </row>
    <row r="172" spans="1:8" ht="15" customHeight="1">
      <c r="A172" s="374" t="s">
        <v>298</v>
      </c>
      <c r="B172" s="289">
        <v>0</v>
      </c>
      <c r="C172" s="373" t="s">
        <v>294</v>
      </c>
      <c r="D172" s="293">
        <v>0</v>
      </c>
      <c r="E172" s="374" t="s">
        <v>298</v>
      </c>
      <c r="F172" s="289">
        <v>0</v>
      </c>
      <c r="G172" s="373" t="s">
        <v>294</v>
      </c>
      <c r="H172" s="293">
        <v>0</v>
      </c>
    </row>
    <row r="173" spans="1:8" ht="15" customHeight="1">
      <c r="A173" s="375"/>
      <c r="B173" s="290"/>
      <c r="C173" s="373" t="s">
        <v>50</v>
      </c>
      <c r="D173" s="293">
        <v>0</v>
      </c>
      <c r="E173" s="375"/>
      <c r="F173" s="290"/>
      <c r="G173" s="373" t="s">
        <v>50</v>
      </c>
      <c r="H173" s="293">
        <v>0</v>
      </c>
    </row>
    <row r="174" spans="1:8" ht="15" customHeight="1">
      <c r="A174" s="375"/>
      <c r="B174" s="290"/>
      <c r="C174" s="373" t="s">
        <v>317</v>
      </c>
      <c r="D174" s="293">
        <v>0</v>
      </c>
      <c r="E174" s="375"/>
      <c r="F174" s="290"/>
      <c r="G174" s="373" t="s">
        <v>317</v>
      </c>
      <c r="H174" s="293">
        <v>0</v>
      </c>
    </row>
    <row r="175" spans="1:8" ht="15" customHeight="1">
      <c r="A175" s="316" t="s">
        <v>360</v>
      </c>
      <c r="B175" s="290">
        <v>0</v>
      </c>
      <c r="C175" s="373" t="s">
        <v>315</v>
      </c>
      <c r="D175" s="293">
        <v>0</v>
      </c>
      <c r="E175" s="316" t="s">
        <v>360</v>
      </c>
      <c r="F175" s="290">
        <v>0</v>
      </c>
      <c r="G175" s="373" t="s">
        <v>315</v>
      </c>
      <c r="H175" s="293">
        <v>0</v>
      </c>
    </row>
    <row r="176" spans="1:8" ht="15" customHeight="1">
      <c r="A176" s="377"/>
      <c r="B176" s="291"/>
      <c r="C176" s="272" t="s">
        <v>365</v>
      </c>
      <c r="D176" s="293">
        <v>100</v>
      </c>
      <c r="E176" s="377"/>
      <c r="F176" s="291"/>
      <c r="G176" s="272" t="s">
        <v>365</v>
      </c>
      <c r="H176" s="293">
        <v>100</v>
      </c>
    </row>
    <row r="177" spans="1:8" ht="15" customHeight="1">
      <c r="A177" s="378"/>
      <c r="B177" s="389"/>
      <c r="C177" s="390"/>
      <c r="D177" s="303">
        <v>0</v>
      </c>
      <c r="E177" s="378"/>
      <c r="F177" s="389"/>
      <c r="G177" s="390"/>
      <c r="H177" s="303">
        <v>0</v>
      </c>
    </row>
    <row r="178" spans="1:8" ht="15" customHeight="1">
      <c r="A178" s="380" t="s">
        <v>295</v>
      </c>
      <c r="B178" s="381">
        <f>SUM(B168:B173)-B175</f>
        <v>10000</v>
      </c>
      <c r="C178" s="382" t="s">
        <v>296</v>
      </c>
      <c r="D178" s="383">
        <f>SUM(D168:D177)</f>
        <v>850</v>
      </c>
      <c r="E178" s="380" t="s">
        <v>295</v>
      </c>
      <c r="F178" s="381">
        <f>SUM(F168:F173)-F175</f>
        <v>8500</v>
      </c>
      <c r="G178" s="382" t="s">
        <v>296</v>
      </c>
      <c r="H178" s="383">
        <f>SUM(H168:H177)</f>
        <v>1950</v>
      </c>
    </row>
    <row r="179" spans="1:8" ht="15" customHeight="1">
      <c r="A179" s="577" t="s">
        <v>48</v>
      </c>
      <c r="B179" s="578"/>
      <c r="C179" s="579">
        <f>B178-D178</f>
        <v>9150</v>
      </c>
      <c r="D179" s="580"/>
      <c r="E179" s="577" t="s">
        <v>48</v>
      </c>
      <c r="F179" s="578"/>
      <c r="G179" s="579">
        <f>F178-H178</f>
        <v>6550</v>
      </c>
      <c r="H179" s="580"/>
    </row>
    <row r="180" spans="1:8" ht="15" customHeight="1">
      <c r="A180" s="391"/>
      <c r="B180" s="391"/>
      <c r="C180" s="392"/>
      <c r="D180" s="392"/>
      <c r="E180" s="391"/>
      <c r="F180" s="391"/>
      <c r="G180" s="392"/>
      <c r="H180" s="392"/>
    </row>
    <row r="181" spans="1:8" ht="15" customHeight="1">
      <c r="A181" s="364" t="s">
        <v>246</v>
      </c>
      <c r="C181" s="364" t="s">
        <v>247</v>
      </c>
      <c r="E181" s="364" t="s">
        <v>246</v>
      </c>
      <c r="G181" s="364" t="s">
        <v>247</v>
      </c>
    </row>
    <row r="183" spans="1:8" ht="15" customHeight="1">
      <c r="A183" s="414" t="s">
        <v>249</v>
      </c>
      <c r="C183" s="414" t="s">
        <v>142</v>
      </c>
      <c r="E183" s="414" t="s">
        <v>249</v>
      </c>
      <c r="G183" s="414" t="s">
        <v>142</v>
      </c>
    </row>
    <row r="184" spans="1:8" ht="15" customHeight="1">
      <c r="A184" s="364" t="s">
        <v>208</v>
      </c>
      <c r="C184" s="364" t="s">
        <v>393</v>
      </c>
      <c r="E184" s="364" t="s">
        <v>208</v>
      </c>
      <c r="G184" s="364" t="s">
        <v>393</v>
      </c>
    </row>
    <row r="185" spans="1:8" ht="15" customHeight="1">
      <c r="A185" s="391"/>
      <c r="B185" s="391"/>
      <c r="C185" s="392"/>
      <c r="D185" s="392"/>
    </row>
    <row r="186" spans="1:8" ht="15" customHeight="1">
      <c r="A186" s="391"/>
      <c r="B186" s="391"/>
      <c r="C186" s="392"/>
      <c r="D186" s="392"/>
    </row>
    <row r="187" spans="1:8" ht="15" customHeight="1">
      <c r="A187" s="361"/>
      <c r="B187" s="362"/>
      <c r="C187" s="362"/>
      <c r="D187" s="363"/>
      <c r="E187" s="361"/>
      <c r="F187" s="362"/>
      <c r="G187" s="362"/>
      <c r="H187" s="363"/>
    </row>
    <row r="188" spans="1:8" ht="15" customHeight="1">
      <c r="A188" s="365"/>
      <c r="D188" s="366"/>
      <c r="E188" s="365"/>
      <c r="H188" s="366"/>
    </row>
    <row r="189" spans="1:8" ht="15" customHeight="1">
      <c r="A189" s="365"/>
      <c r="D189" s="366"/>
      <c r="E189" s="365"/>
      <c r="H189" s="366"/>
    </row>
    <row r="190" spans="1:8" ht="15" customHeight="1">
      <c r="A190" s="365"/>
      <c r="D190" s="366"/>
      <c r="E190" s="365"/>
      <c r="H190" s="366"/>
    </row>
    <row r="191" spans="1:8" ht="15" customHeight="1">
      <c r="A191" s="365"/>
      <c r="D191" s="366"/>
      <c r="E191" s="365"/>
      <c r="H191" s="366"/>
    </row>
    <row r="192" spans="1:8" ht="15" customHeight="1">
      <c r="A192" s="367" t="s">
        <v>36</v>
      </c>
      <c r="B192" s="371" t="s">
        <v>438</v>
      </c>
      <c r="C192" s="369"/>
      <c r="D192" s="370"/>
      <c r="E192" s="367" t="s">
        <v>36</v>
      </c>
      <c r="F192" s="371" t="s">
        <v>439</v>
      </c>
      <c r="G192" s="369"/>
      <c r="H192" s="370"/>
    </row>
    <row r="193" spans="1:8" ht="15" customHeight="1">
      <c r="A193" s="367" t="s">
        <v>283</v>
      </c>
      <c r="B193" s="394" t="str">
        <f>B7</f>
        <v>: 30 JUNE 2026</v>
      </c>
      <c r="C193" s="369"/>
      <c r="D193" s="370"/>
      <c r="E193" s="367" t="s">
        <v>283</v>
      </c>
      <c r="F193" s="394" t="str">
        <f>F69</f>
        <v>: 30 JUNE 2026</v>
      </c>
      <c r="G193" s="369"/>
      <c r="H193" s="370"/>
    </row>
    <row r="194" spans="1:8" ht="15" customHeight="1">
      <c r="A194" s="367" t="s">
        <v>284</v>
      </c>
      <c r="B194" s="371" t="str">
        <f>B8</f>
        <v>: 06/11/2026 - 06/25/2026</v>
      </c>
      <c r="C194" s="369"/>
      <c r="D194" s="370"/>
      <c r="E194" s="367" t="s">
        <v>284</v>
      </c>
      <c r="F194" s="371" t="str">
        <f>F70</f>
        <v>: 06/11/2026 - 06/25/2026</v>
      </c>
      <c r="G194" s="369"/>
      <c r="H194" s="370"/>
    </row>
    <row r="195" spans="1:8" ht="15" customHeight="1">
      <c r="A195" s="367" t="s">
        <v>285</v>
      </c>
      <c r="B195" s="368" t="s">
        <v>304</v>
      </c>
      <c r="C195" s="369"/>
      <c r="D195" s="370"/>
      <c r="E195" s="367" t="s">
        <v>285</v>
      </c>
      <c r="F195" s="368" t="s">
        <v>304</v>
      </c>
      <c r="G195" s="369"/>
      <c r="H195" s="370"/>
    </row>
    <row r="196" spans="1:8" ht="15" customHeight="1">
      <c r="A196" s="367" t="s">
        <v>286</v>
      </c>
      <c r="B196" s="368" t="s">
        <v>305</v>
      </c>
      <c r="C196" s="369"/>
      <c r="D196" s="370"/>
      <c r="E196" s="367" t="s">
        <v>286</v>
      </c>
      <c r="F196" s="368" t="s">
        <v>305</v>
      </c>
      <c r="G196" s="369"/>
      <c r="H196" s="370"/>
    </row>
    <row r="197" spans="1:8" ht="15" customHeight="1">
      <c r="A197" s="583" t="s">
        <v>287</v>
      </c>
      <c r="B197" s="584"/>
      <c r="C197" s="581" t="s">
        <v>288</v>
      </c>
      <c r="D197" s="582"/>
      <c r="E197" s="583" t="s">
        <v>287</v>
      </c>
      <c r="F197" s="584"/>
      <c r="G197" s="581" t="s">
        <v>288</v>
      </c>
      <c r="H197" s="582"/>
    </row>
    <row r="198" spans="1:8" ht="15" customHeight="1">
      <c r="A198" s="372" t="s">
        <v>289</v>
      </c>
      <c r="B198" s="307">
        <v>7500</v>
      </c>
      <c r="C198" s="373" t="s">
        <v>149</v>
      </c>
      <c r="D198" s="293">
        <v>1250</v>
      </c>
      <c r="E198" s="372" t="s">
        <v>289</v>
      </c>
      <c r="F198" s="307">
        <v>7500</v>
      </c>
      <c r="G198" s="373" t="s">
        <v>149</v>
      </c>
      <c r="H198" s="293">
        <v>0</v>
      </c>
    </row>
    <row r="199" spans="1:8" ht="15" customHeight="1">
      <c r="A199" s="374" t="s">
        <v>291</v>
      </c>
      <c r="B199" s="289">
        <v>2500</v>
      </c>
      <c r="C199" s="373" t="s">
        <v>293</v>
      </c>
      <c r="D199" s="293">
        <v>0</v>
      </c>
      <c r="E199" s="374" t="s">
        <v>291</v>
      </c>
      <c r="F199" s="289">
        <v>2500</v>
      </c>
      <c r="G199" s="373" t="s">
        <v>293</v>
      </c>
      <c r="H199" s="293">
        <v>0</v>
      </c>
    </row>
    <row r="200" spans="1:8" ht="15" customHeight="1">
      <c r="A200" s="374" t="s">
        <v>297</v>
      </c>
      <c r="B200" s="289">
        <v>0</v>
      </c>
      <c r="C200" s="373" t="s">
        <v>146</v>
      </c>
      <c r="D200" s="293">
        <v>750</v>
      </c>
      <c r="E200" s="374" t="s">
        <v>297</v>
      </c>
      <c r="F200" s="289">
        <v>0</v>
      </c>
      <c r="G200" s="373" t="s">
        <v>146</v>
      </c>
      <c r="H200" s="293">
        <v>750</v>
      </c>
    </row>
    <row r="201" spans="1:8" ht="15" customHeight="1">
      <c r="A201" s="374" t="s">
        <v>187</v>
      </c>
      <c r="B201" s="289">
        <v>0</v>
      </c>
      <c r="C201" s="373" t="s">
        <v>314</v>
      </c>
      <c r="D201" s="293">
        <v>0</v>
      </c>
      <c r="E201" s="374" t="s">
        <v>187</v>
      </c>
      <c r="F201" s="289">
        <v>0</v>
      </c>
      <c r="G201" s="373" t="s">
        <v>314</v>
      </c>
      <c r="H201" s="293">
        <v>0</v>
      </c>
    </row>
    <row r="202" spans="1:8" ht="15" customHeight="1">
      <c r="A202" s="374" t="s">
        <v>298</v>
      </c>
      <c r="B202" s="289">
        <v>0</v>
      </c>
      <c r="C202" s="373" t="s">
        <v>294</v>
      </c>
      <c r="D202" s="293">
        <v>0</v>
      </c>
      <c r="E202" s="374" t="s">
        <v>298</v>
      </c>
      <c r="F202" s="289">
        <v>0</v>
      </c>
      <c r="G202" s="373" t="s">
        <v>294</v>
      </c>
      <c r="H202" s="293">
        <v>0</v>
      </c>
    </row>
    <row r="203" spans="1:8" ht="15" customHeight="1">
      <c r="A203" s="375"/>
      <c r="B203" s="290"/>
      <c r="C203" s="373" t="s">
        <v>50</v>
      </c>
      <c r="D203" s="293">
        <v>0</v>
      </c>
      <c r="E203" s="375"/>
      <c r="F203" s="290"/>
      <c r="G203" s="373" t="s">
        <v>50</v>
      </c>
      <c r="H203" s="293">
        <v>0</v>
      </c>
    </row>
    <row r="204" spans="1:8" ht="15" customHeight="1">
      <c r="A204" s="375"/>
      <c r="B204" s="290"/>
      <c r="C204" s="373" t="s">
        <v>317</v>
      </c>
      <c r="D204" s="293">
        <v>0</v>
      </c>
      <c r="E204" s="375"/>
      <c r="F204" s="290"/>
      <c r="G204" s="373" t="s">
        <v>317</v>
      </c>
      <c r="H204" s="293">
        <v>0</v>
      </c>
    </row>
    <row r="205" spans="1:8" ht="15" customHeight="1">
      <c r="A205" s="316" t="s">
        <v>360</v>
      </c>
      <c r="B205" s="290">
        <v>0</v>
      </c>
      <c r="C205" s="373" t="s">
        <v>315</v>
      </c>
      <c r="D205" s="293">
        <v>0</v>
      </c>
      <c r="E205" s="316" t="s">
        <v>360</v>
      </c>
      <c r="F205" s="290">
        <v>0</v>
      </c>
      <c r="G205" s="373" t="s">
        <v>315</v>
      </c>
      <c r="H205" s="293">
        <v>0</v>
      </c>
    </row>
    <row r="206" spans="1:8" ht="15" customHeight="1">
      <c r="A206" s="377"/>
      <c r="B206" s="291"/>
      <c r="C206" s="272" t="s">
        <v>365</v>
      </c>
      <c r="D206" s="293">
        <v>100</v>
      </c>
      <c r="E206" s="377"/>
      <c r="F206" s="291"/>
      <c r="G206" s="272" t="s">
        <v>365</v>
      </c>
      <c r="H206" s="293">
        <v>100</v>
      </c>
    </row>
    <row r="207" spans="1:8" ht="15" customHeight="1">
      <c r="A207" s="378"/>
      <c r="B207" s="389"/>
      <c r="C207" s="390"/>
      <c r="D207" s="303">
        <v>0</v>
      </c>
      <c r="E207" s="378"/>
      <c r="F207" s="389"/>
      <c r="G207" s="390"/>
      <c r="H207" s="303">
        <v>0</v>
      </c>
    </row>
    <row r="208" spans="1:8" ht="15" customHeight="1">
      <c r="A208" s="380" t="s">
        <v>295</v>
      </c>
      <c r="B208" s="381">
        <f>SUM(B198:B203)-B205</f>
        <v>10000</v>
      </c>
      <c r="C208" s="382" t="s">
        <v>296</v>
      </c>
      <c r="D208" s="383">
        <f>SUM(D198:D207)</f>
        <v>2100</v>
      </c>
      <c r="E208" s="380" t="s">
        <v>295</v>
      </c>
      <c r="F208" s="381">
        <f>SUM(F198:F203)-F205</f>
        <v>10000</v>
      </c>
      <c r="G208" s="382" t="s">
        <v>296</v>
      </c>
      <c r="H208" s="383">
        <f>SUM(H198:H207)</f>
        <v>850</v>
      </c>
    </row>
    <row r="209" spans="1:8" ht="15" customHeight="1">
      <c r="A209" s="577" t="s">
        <v>48</v>
      </c>
      <c r="B209" s="578"/>
      <c r="C209" s="579">
        <f>B208-D208</f>
        <v>7900</v>
      </c>
      <c r="D209" s="580"/>
      <c r="E209" s="577" t="s">
        <v>48</v>
      </c>
      <c r="F209" s="578"/>
      <c r="G209" s="579">
        <f>F208-H208</f>
        <v>9150</v>
      </c>
      <c r="H209" s="580"/>
    </row>
    <row r="210" spans="1:8" ht="15" customHeight="1">
      <c r="A210" s="391"/>
      <c r="B210" s="391"/>
      <c r="C210" s="392"/>
      <c r="D210" s="392"/>
      <c r="E210" s="391"/>
      <c r="F210" s="391"/>
      <c r="G210" s="392"/>
      <c r="H210" s="392"/>
    </row>
    <row r="211" spans="1:8" ht="15" customHeight="1">
      <c r="A211" s="364" t="s">
        <v>246</v>
      </c>
      <c r="C211" s="364" t="s">
        <v>247</v>
      </c>
      <c r="E211" s="364" t="s">
        <v>246</v>
      </c>
      <c r="G211" s="364" t="s">
        <v>247</v>
      </c>
    </row>
    <row r="213" spans="1:8" ht="15" customHeight="1">
      <c r="A213" s="414" t="s">
        <v>249</v>
      </c>
      <c r="C213" s="414" t="s">
        <v>142</v>
      </c>
      <c r="E213" s="414" t="s">
        <v>249</v>
      </c>
      <c r="G213" s="414" t="s">
        <v>142</v>
      </c>
    </row>
    <row r="214" spans="1:8" ht="15" customHeight="1">
      <c r="A214" s="364" t="s">
        <v>208</v>
      </c>
      <c r="C214" s="364" t="s">
        <v>393</v>
      </c>
      <c r="E214" s="364" t="s">
        <v>208</v>
      </c>
      <c r="G214" s="364" t="s">
        <v>393</v>
      </c>
    </row>
    <row r="219" spans="1:8" ht="15" customHeight="1">
      <c r="A219" s="361"/>
      <c r="B219" s="362"/>
      <c r="C219" s="362"/>
      <c r="D219" s="363"/>
      <c r="E219" s="361"/>
      <c r="F219" s="362"/>
      <c r="G219" s="362"/>
      <c r="H219" s="363"/>
    </row>
    <row r="220" spans="1:8" ht="15" customHeight="1">
      <c r="A220" s="365"/>
      <c r="D220" s="366"/>
      <c r="E220" s="365"/>
      <c r="H220" s="366"/>
    </row>
    <row r="221" spans="1:8" ht="15" customHeight="1">
      <c r="A221" s="365"/>
      <c r="D221" s="366"/>
      <c r="E221" s="365"/>
      <c r="H221" s="366"/>
    </row>
    <row r="222" spans="1:8" ht="15" customHeight="1">
      <c r="A222" s="365"/>
      <c r="D222" s="366"/>
      <c r="E222" s="365"/>
      <c r="H222" s="366"/>
    </row>
    <row r="223" spans="1:8" ht="15" customHeight="1">
      <c r="A223" s="365"/>
      <c r="D223" s="366"/>
      <c r="E223" s="365"/>
      <c r="H223" s="366"/>
    </row>
    <row r="224" spans="1:8" ht="15" customHeight="1">
      <c r="A224" s="367" t="s">
        <v>36</v>
      </c>
      <c r="B224" s="371" t="s">
        <v>370</v>
      </c>
      <c r="C224" s="369"/>
      <c r="D224" s="370"/>
      <c r="E224" s="367" t="s">
        <v>36</v>
      </c>
      <c r="F224" s="371" t="s">
        <v>441</v>
      </c>
      <c r="G224" s="369"/>
      <c r="H224" s="370"/>
    </row>
    <row r="225" spans="1:8" ht="15" customHeight="1">
      <c r="A225" s="367" t="s">
        <v>283</v>
      </c>
      <c r="B225" s="413" t="str">
        <f>B131</f>
        <v>: 30 JUNE 2026</v>
      </c>
      <c r="C225" s="369"/>
      <c r="D225" s="370"/>
      <c r="E225" s="367" t="s">
        <v>283</v>
      </c>
      <c r="F225" s="413" t="str">
        <f>B7</f>
        <v>: 30 JUNE 2026</v>
      </c>
      <c r="G225" s="369"/>
      <c r="H225" s="370"/>
    </row>
    <row r="226" spans="1:8" ht="15" customHeight="1">
      <c r="A226" s="367" t="s">
        <v>284</v>
      </c>
      <c r="B226" s="371" t="str">
        <f>B132</f>
        <v>: 06/11/2026 - 06/25/2026</v>
      </c>
      <c r="C226" s="369"/>
      <c r="D226" s="370"/>
      <c r="E226" s="367" t="s">
        <v>284</v>
      </c>
      <c r="F226" s="371" t="str">
        <f>B8</f>
        <v>: 06/11/2026 - 06/25/2026</v>
      </c>
      <c r="G226" s="369"/>
      <c r="H226" s="370"/>
    </row>
    <row r="227" spans="1:8" ht="15" customHeight="1">
      <c r="A227" s="367" t="s">
        <v>285</v>
      </c>
      <c r="B227" s="371" t="s">
        <v>391</v>
      </c>
      <c r="C227" s="369"/>
      <c r="D227" s="370"/>
      <c r="E227" s="367" t="s">
        <v>285</v>
      </c>
      <c r="F227" s="371" t="s">
        <v>391</v>
      </c>
      <c r="G227" s="369"/>
      <c r="H227" s="370"/>
    </row>
    <row r="228" spans="1:8" ht="15" customHeight="1">
      <c r="A228" s="367" t="s">
        <v>286</v>
      </c>
      <c r="B228" s="371" t="s">
        <v>350</v>
      </c>
      <c r="C228" s="369"/>
      <c r="D228" s="370"/>
      <c r="E228" s="367" t="s">
        <v>286</v>
      </c>
      <c r="F228" s="371" t="s">
        <v>350</v>
      </c>
      <c r="G228" s="369"/>
      <c r="H228" s="370"/>
    </row>
    <row r="229" spans="1:8" ht="15" customHeight="1">
      <c r="A229" s="583" t="s">
        <v>287</v>
      </c>
      <c r="B229" s="584"/>
      <c r="C229" s="581" t="s">
        <v>288</v>
      </c>
      <c r="D229" s="582"/>
      <c r="E229" s="583" t="s">
        <v>287</v>
      </c>
      <c r="F229" s="584"/>
      <c r="G229" s="581" t="s">
        <v>288</v>
      </c>
      <c r="H229" s="582"/>
    </row>
    <row r="230" spans="1:8" ht="15" customHeight="1">
      <c r="A230" s="372" t="s">
        <v>289</v>
      </c>
      <c r="B230" s="307">
        <v>6000</v>
      </c>
      <c r="C230" s="373" t="s">
        <v>149</v>
      </c>
      <c r="D230" s="293">
        <v>0</v>
      </c>
      <c r="E230" s="372" t="s">
        <v>289</v>
      </c>
      <c r="F230" s="307">
        <v>6000</v>
      </c>
      <c r="G230" s="373" t="s">
        <v>149</v>
      </c>
      <c r="H230" s="293">
        <v>0</v>
      </c>
    </row>
    <row r="231" spans="1:8" ht="15" customHeight="1">
      <c r="A231" s="374" t="s">
        <v>291</v>
      </c>
      <c r="B231" s="289">
        <v>2500</v>
      </c>
      <c r="C231" s="373" t="s">
        <v>293</v>
      </c>
      <c r="D231" s="293">
        <v>0</v>
      </c>
      <c r="E231" s="374" t="s">
        <v>291</v>
      </c>
      <c r="F231" s="289">
        <v>2500</v>
      </c>
      <c r="G231" s="373" t="s">
        <v>293</v>
      </c>
      <c r="H231" s="293">
        <v>0</v>
      </c>
    </row>
    <row r="232" spans="1:8" ht="15" customHeight="1">
      <c r="A232" s="374" t="s">
        <v>297</v>
      </c>
      <c r="B232" s="289">
        <v>0</v>
      </c>
      <c r="C232" s="373" t="s">
        <v>146</v>
      </c>
      <c r="D232" s="293">
        <v>600</v>
      </c>
      <c r="E232" s="374" t="s">
        <v>297</v>
      </c>
      <c r="F232" s="289">
        <v>0</v>
      </c>
      <c r="G232" s="373" t="s">
        <v>146</v>
      </c>
      <c r="H232" s="293">
        <v>300</v>
      </c>
    </row>
    <row r="233" spans="1:8" ht="15" customHeight="1">
      <c r="A233" s="374" t="s">
        <v>187</v>
      </c>
      <c r="B233" s="289">
        <v>0</v>
      </c>
      <c r="C233" s="373" t="s">
        <v>314</v>
      </c>
      <c r="D233" s="293">
        <v>0</v>
      </c>
      <c r="E233" s="374" t="s">
        <v>187</v>
      </c>
      <c r="F233" s="289">
        <v>0</v>
      </c>
      <c r="G233" s="373" t="s">
        <v>314</v>
      </c>
      <c r="H233" s="293">
        <v>0</v>
      </c>
    </row>
    <row r="234" spans="1:8" ht="15" customHeight="1">
      <c r="A234" s="374" t="s">
        <v>298</v>
      </c>
      <c r="B234" s="289">
        <v>0</v>
      </c>
      <c r="C234" s="373" t="s">
        <v>294</v>
      </c>
      <c r="D234" s="293">
        <v>0</v>
      </c>
      <c r="E234" s="374" t="s">
        <v>298</v>
      </c>
      <c r="F234" s="289">
        <v>0</v>
      </c>
      <c r="G234" s="373" t="s">
        <v>294</v>
      </c>
      <c r="H234" s="293">
        <v>0</v>
      </c>
    </row>
    <row r="235" spans="1:8" ht="15" customHeight="1">
      <c r="A235" s="375"/>
      <c r="B235" s="290"/>
      <c r="C235" s="373" t="s">
        <v>50</v>
      </c>
      <c r="D235" s="293">
        <v>0</v>
      </c>
      <c r="E235" s="375"/>
      <c r="F235" s="290"/>
      <c r="G235" s="373" t="s">
        <v>50</v>
      </c>
      <c r="H235" s="293">
        <v>0</v>
      </c>
    </row>
    <row r="236" spans="1:8" ht="15" customHeight="1">
      <c r="A236" s="375"/>
      <c r="B236" s="290"/>
      <c r="C236" s="373" t="s">
        <v>317</v>
      </c>
      <c r="D236" s="293">
        <v>0</v>
      </c>
      <c r="E236" s="375"/>
      <c r="F236" s="290"/>
      <c r="G236" s="373" t="s">
        <v>317</v>
      </c>
      <c r="H236" s="293">
        <v>0</v>
      </c>
    </row>
    <row r="237" spans="1:8" ht="15" customHeight="1">
      <c r="A237" s="316" t="s">
        <v>360</v>
      </c>
      <c r="B237" s="290">
        <v>0</v>
      </c>
      <c r="C237" s="373" t="s">
        <v>315</v>
      </c>
      <c r="D237" s="293">
        <v>0</v>
      </c>
      <c r="E237" s="316" t="s">
        <v>360</v>
      </c>
      <c r="F237" s="290">
        <v>0</v>
      </c>
      <c r="G237" s="373" t="s">
        <v>315</v>
      </c>
      <c r="H237" s="293">
        <v>0</v>
      </c>
    </row>
    <row r="238" spans="1:8" ht="15" customHeight="1">
      <c r="A238" s="377"/>
      <c r="B238" s="291"/>
      <c r="C238" s="272" t="s">
        <v>365</v>
      </c>
      <c r="D238" s="293">
        <v>100</v>
      </c>
      <c r="E238" s="377"/>
      <c r="F238" s="291"/>
      <c r="G238" s="272" t="s">
        <v>365</v>
      </c>
      <c r="H238" s="293">
        <v>100</v>
      </c>
    </row>
    <row r="239" spans="1:8" ht="15" customHeight="1">
      <c r="A239" s="378"/>
      <c r="B239" s="389"/>
      <c r="C239" s="390"/>
      <c r="D239" s="303">
        <v>0</v>
      </c>
      <c r="E239" s="378"/>
      <c r="F239" s="389"/>
      <c r="G239" s="390"/>
      <c r="H239" s="303">
        <v>0</v>
      </c>
    </row>
    <row r="240" spans="1:8" ht="15" customHeight="1">
      <c r="A240" s="380" t="s">
        <v>295</v>
      </c>
      <c r="B240" s="381">
        <f>SUM(B230:B235)-B237</f>
        <v>8500</v>
      </c>
      <c r="C240" s="382" t="s">
        <v>296</v>
      </c>
      <c r="D240" s="383">
        <f>SUM(D230:D239)</f>
        <v>700</v>
      </c>
      <c r="E240" s="380" t="s">
        <v>295</v>
      </c>
      <c r="F240" s="381">
        <f>SUM(F230:F235)-F237</f>
        <v>8500</v>
      </c>
      <c r="G240" s="382" t="s">
        <v>296</v>
      </c>
      <c r="H240" s="383">
        <f>SUM(H230:H239)</f>
        <v>400</v>
      </c>
    </row>
    <row r="241" spans="1:8" ht="15" customHeight="1">
      <c r="A241" s="577" t="s">
        <v>48</v>
      </c>
      <c r="B241" s="578"/>
      <c r="C241" s="579">
        <f>B240-D240</f>
        <v>7800</v>
      </c>
      <c r="D241" s="580"/>
      <c r="E241" s="577" t="s">
        <v>48</v>
      </c>
      <c r="F241" s="578"/>
      <c r="G241" s="579">
        <f>F240-H240</f>
        <v>8100</v>
      </c>
      <c r="H241" s="580"/>
    </row>
    <row r="244" spans="1:8" ht="15" customHeight="1">
      <c r="A244" s="364" t="s">
        <v>246</v>
      </c>
      <c r="C244" s="364" t="s">
        <v>247</v>
      </c>
      <c r="E244" s="364" t="s">
        <v>246</v>
      </c>
      <c r="G244" s="364" t="s">
        <v>247</v>
      </c>
    </row>
    <row r="246" spans="1:8" ht="15" customHeight="1">
      <c r="A246" s="414" t="s">
        <v>249</v>
      </c>
      <c r="C246" s="414" t="s">
        <v>142</v>
      </c>
      <c r="E246" s="414" t="s">
        <v>249</v>
      </c>
      <c r="G246" s="414" t="s">
        <v>142</v>
      </c>
    </row>
    <row r="247" spans="1:8" ht="15" customHeight="1">
      <c r="A247" s="364" t="s">
        <v>208</v>
      </c>
      <c r="C247" s="364" t="s">
        <v>393</v>
      </c>
      <c r="E247" s="364" t="s">
        <v>208</v>
      </c>
      <c r="G247" s="364" t="s">
        <v>393</v>
      </c>
    </row>
  </sheetData>
  <mergeCells count="64">
    <mergeCell ref="A11:B11"/>
    <mergeCell ref="C11:D11"/>
    <mergeCell ref="E11:F11"/>
    <mergeCell ref="G11:H11"/>
    <mergeCell ref="A23:B23"/>
    <mergeCell ref="C23:D23"/>
    <mergeCell ref="E23:F23"/>
    <mergeCell ref="G23:H23"/>
    <mergeCell ref="A43:B43"/>
    <mergeCell ref="C43:D43"/>
    <mergeCell ref="E43:F43"/>
    <mergeCell ref="G43:H43"/>
    <mergeCell ref="A55:B55"/>
    <mergeCell ref="C55:D55"/>
    <mergeCell ref="E55:F55"/>
    <mergeCell ref="G55:H55"/>
    <mergeCell ref="E73:F73"/>
    <mergeCell ref="G73:H73"/>
    <mergeCell ref="E117:F117"/>
    <mergeCell ref="G117:H117"/>
    <mergeCell ref="A117:B117"/>
    <mergeCell ref="C117:D117"/>
    <mergeCell ref="E85:F85"/>
    <mergeCell ref="G85:H85"/>
    <mergeCell ref="G105:H105"/>
    <mergeCell ref="A73:B73"/>
    <mergeCell ref="C73:D73"/>
    <mergeCell ref="A85:B85"/>
    <mergeCell ref="C85:D85"/>
    <mergeCell ref="A105:B105"/>
    <mergeCell ref="C105:D105"/>
    <mergeCell ref="E105:F105"/>
    <mergeCell ref="G135:H135"/>
    <mergeCell ref="E147:F147"/>
    <mergeCell ref="G147:H147"/>
    <mergeCell ref="A147:B147"/>
    <mergeCell ref="C147:D147"/>
    <mergeCell ref="A135:B135"/>
    <mergeCell ref="C135:D135"/>
    <mergeCell ref="E135:F135"/>
    <mergeCell ref="G167:H167"/>
    <mergeCell ref="E179:F179"/>
    <mergeCell ref="G179:H179"/>
    <mergeCell ref="A229:B229"/>
    <mergeCell ref="C229:D229"/>
    <mergeCell ref="C167:D167"/>
    <mergeCell ref="A179:B179"/>
    <mergeCell ref="C179:D179"/>
    <mergeCell ref="E167:F167"/>
    <mergeCell ref="A167:B167"/>
    <mergeCell ref="G209:H209"/>
    <mergeCell ref="A197:B197"/>
    <mergeCell ref="C197:D197"/>
    <mergeCell ref="A209:B209"/>
    <mergeCell ref="C209:D209"/>
    <mergeCell ref="E197:F197"/>
    <mergeCell ref="A241:B241"/>
    <mergeCell ref="C241:D241"/>
    <mergeCell ref="G197:H197"/>
    <mergeCell ref="E229:F229"/>
    <mergeCell ref="G229:H229"/>
    <mergeCell ref="E241:F241"/>
    <mergeCell ref="G241:H241"/>
    <mergeCell ref="E209:F209"/>
  </mergeCells>
  <pageMargins left="0.78125" right="0.52083333333333337" top="0.40625" bottom="0.38541666666666669" header="0.3" footer="0.3"/>
  <pageSetup paperSize="5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B6:AH74"/>
  <sheetViews>
    <sheetView showGridLines="0" showWhiteSpace="0" view="pageLayout" zoomScale="140" zoomScaleNormal="100" zoomScalePageLayoutView="140" workbookViewId="0">
      <selection activeCell="L35" sqref="L35"/>
    </sheetView>
  </sheetViews>
  <sheetFormatPr defaultColWidth="9" defaultRowHeight="12.75"/>
  <cols>
    <col min="1" max="1" width="1.625" customWidth="1"/>
    <col min="2" max="2" width="5.375" customWidth="1"/>
    <col min="3" max="3" width="7.125" customWidth="1"/>
    <col min="4" max="4" width="8.5" customWidth="1"/>
    <col min="5" max="5" width="7.625" customWidth="1"/>
    <col min="6" max="6" width="9.875" customWidth="1"/>
    <col min="7" max="7" width="10.125" customWidth="1"/>
    <col min="8" max="8" width="9.625" customWidth="1"/>
    <col min="9" max="9" width="8.125" customWidth="1"/>
    <col min="10" max="10" width="10.125" customWidth="1"/>
    <col min="11" max="11" width="7.875" customWidth="1"/>
    <col min="12" max="12" width="11.5" customWidth="1"/>
    <col min="13" max="13" width="10.875" customWidth="1"/>
    <col min="14" max="14" width="12.125" customWidth="1"/>
    <col min="15" max="15" width="16.875" customWidth="1"/>
  </cols>
  <sheetData>
    <row r="6" spans="2:14" ht="25.5" customHeight="1"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</row>
    <row r="7" spans="2:14" ht="18.75" customHeight="1">
      <c r="C7" s="527" t="s">
        <v>3</v>
      </c>
      <c r="D7" s="527"/>
      <c r="E7" s="49"/>
      <c r="F7" s="49"/>
      <c r="G7" s="50" t="s">
        <v>448</v>
      </c>
      <c r="H7" s="51"/>
      <c r="J7" s="49" t="s">
        <v>174</v>
      </c>
      <c r="L7" s="259" t="s">
        <v>456</v>
      </c>
      <c r="M7" s="259"/>
      <c r="N7" s="259"/>
    </row>
    <row r="8" spans="2:14" ht="18.75" customHeight="1">
      <c r="C8" s="527" t="s">
        <v>175</v>
      </c>
      <c r="D8" s="527"/>
      <c r="E8" s="49"/>
      <c r="F8" s="49"/>
      <c r="G8" s="50" t="s">
        <v>311</v>
      </c>
      <c r="H8" s="51"/>
      <c r="J8" s="49" t="s">
        <v>176</v>
      </c>
      <c r="L8" s="258" t="s">
        <v>457</v>
      </c>
      <c r="M8" s="258"/>
      <c r="N8" s="258"/>
    </row>
    <row r="9" spans="2:14">
      <c r="C9" s="52"/>
      <c r="D9" s="53"/>
      <c r="E9" s="53"/>
      <c r="F9" s="53"/>
      <c r="G9" s="53"/>
    </row>
    <row r="10" spans="2:14">
      <c r="B10" s="54" t="s">
        <v>10</v>
      </c>
      <c r="C10" s="54" t="s">
        <v>11</v>
      </c>
      <c r="D10" s="54" t="s">
        <v>12</v>
      </c>
      <c r="E10" s="54"/>
      <c r="F10" s="54"/>
      <c r="G10" s="55" t="s">
        <v>13</v>
      </c>
    </row>
    <row r="11" spans="2:14">
      <c r="B11" s="56">
        <v>2026</v>
      </c>
      <c r="C11" s="457" t="s">
        <v>177</v>
      </c>
      <c r="D11" s="56">
        <v>11</v>
      </c>
      <c r="E11" s="56"/>
      <c r="F11" s="56"/>
      <c r="G11" s="56" t="s">
        <v>178</v>
      </c>
    </row>
    <row r="12" spans="2:14">
      <c r="B12" s="57"/>
      <c r="C12" s="57"/>
      <c r="H12" s="57"/>
      <c r="K12" s="57"/>
      <c r="L12" s="57"/>
      <c r="M12" s="57"/>
    </row>
    <row r="13" spans="2:14" ht="36.75" customHeight="1">
      <c r="B13" s="58" t="s">
        <v>16</v>
      </c>
      <c r="C13" s="58" t="s">
        <v>17</v>
      </c>
      <c r="D13" s="58" t="s">
        <v>18</v>
      </c>
      <c r="E13" s="59"/>
      <c r="F13" s="59"/>
      <c r="G13" s="59" t="s">
        <v>19</v>
      </c>
      <c r="H13" s="60" t="s">
        <v>179</v>
      </c>
      <c r="L13" s="93"/>
      <c r="M13" s="93"/>
      <c r="N13" s="94"/>
    </row>
    <row r="14" spans="2:14">
      <c r="B14" s="61">
        <v>0.33333333333333331</v>
      </c>
      <c r="C14" s="62">
        <v>10</v>
      </c>
      <c r="D14" s="63">
        <f>(14000/26)/8</f>
        <v>67.307692307692307</v>
      </c>
      <c r="E14" s="142"/>
      <c r="F14" s="142"/>
      <c r="G14" s="64">
        <f>(D14*25%)+D14</f>
        <v>84.134615384615387</v>
      </c>
      <c r="H14" s="65">
        <v>104</v>
      </c>
      <c r="L14" s="57"/>
      <c r="M14" s="57"/>
      <c r="N14" s="95"/>
    </row>
    <row r="15" spans="2:14">
      <c r="N15" s="96"/>
    </row>
    <row r="16" spans="2:14" ht="23.25">
      <c r="B16" s="66"/>
      <c r="C16" s="67" t="s">
        <v>20</v>
      </c>
      <c r="D16" s="67" t="s">
        <v>12</v>
      </c>
      <c r="E16" s="67" t="s">
        <v>21</v>
      </c>
      <c r="F16" s="68" t="s">
        <v>201</v>
      </c>
      <c r="G16" s="67" t="s">
        <v>21</v>
      </c>
      <c r="H16" s="67" t="s">
        <v>22</v>
      </c>
      <c r="I16" s="68" t="s">
        <v>23</v>
      </c>
      <c r="J16" s="68" t="s">
        <v>24</v>
      </c>
      <c r="K16" s="68" t="s">
        <v>25</v>
      </c>
      <c r="L16" s="67" t="s">
        <v>180</v>
      </c>
      <c r="M16" s="134" t="s">
        <v>181</v>
      </c>
      <c r="N16" s="67" t="s">
        <v>26</v>
      </c>
    </row>
    <row r="17" spans="2:34">
      <c r="B17" s="432">
        <v>1</v>
      </c>
      <c r="C17" s="429">
        <f>DATE($B$11,MATCH($C$11,Data!$B$2:$B$13,0),PAALAN!$D$11)</f>
        <v>46276</v>
      </c>
      <c r="D17" s="430">
        <f>DATE($B$11,MATCH($C$11,Data!$B$2:$B$13,0),PAALAN!$D$11)</f>
        <v>46276</v>
      </c>
      <c r="E17" s="424">
        <v>0.33333333333333331</v>
      </c>
      <c r="F17" s="424">
        <v>0</v>
      </c>
      <c r="G17" s="424">
        <f>E17-F17</f>
        <v>0.33333333333333331</v>
      </c>
      <c r="H17" s="424">
        <v>0.75</v>
      </c>
      <c r="I17" s="425">
        <v>1</v>
      </c>
      <c r="J17" s="425">
        <f t="shared" ref="J17:J30" si="0">IFERROR(IF(AND(G17&lt;&gt;"",H17&lt;&gt;""),IF(G17&gt;$B$14+TIME($C$14,($C$14-INT($C$14))*60,0),0,IF(H17&gt;$B$14+TIME($C$14,($C$14-INT($C$14))*60,0),MIN(TIME($C$14,($C$14-INT($C$14))*60,0),($B$14+TIME($C$14,($C$14-INT($C$14))*60,0)-G17)),MIN(IF((H17-$B$14)&lt;0,0,(H17-$B$14)),(H17-G17))))*24,"")-I17,"")</f>
        <v>9</v>
      </c>
      <c r="K17" s="425">
        <v>0</v>
      </c>
      <c r="L17" s="431">
        <f>E17-B14</f>
        <v>0</v>
      </c>
      <c r="M17" s="423">
        <f>(D14/60)*0</f>
        <v>0</v>
      </c>
      <c r="N17" s="427">
        <f>IFERROR(J17*IF(AND(ISNUMBER(SEARCH(TEXT(C17,"ddd"),$G$11)),Data!$F$2),$G$14,$D$14)+K17*$G$14,"")</f>
        <v>605.76923076923072</v>
      </c>
      <c r="O17" s="141">
        <f t="shared" ref="O17:O31" si="1">M17+N17</f>
        <v>605.76923076923072</v>
      </c>
      <c r="P17" s="89"/>
      <c r="Q17" s="89"/>
    </row>
    <row r="18" spans="2:34">
      <c r="B18" s="432">
        <v>2</v>
      </c>
      <c r="C18" s="429">
        <f t="shared" ref="C18:D31" si="2">C17+1</f>
        <v>46277</v>
      </c>
      <c r="D18" s="430">
        <f t="shared" si="2"/>
        <v>46277</v>
      </c>
      <c r="E18" s="424">
        <v>0.375</v>
      </c>
      <c r="F18" s="424">
        <v>0</v>
      </c>
      <c r="G18" s="424">
        <f t="shared" ref="G18:G29" si="3">E18-F18</f>
        <v>0.375</v>
      </c>
      <c r="H18" s="424">
        <v>0.5</v>
      </c>
      <c r="I18" s="425">
        <v>0</v>
      </c>
      <c r="J18" s="425">
        <f t="shared" si="0"/>
        <v>3</v>
      </c>
      <c r="K18" s="425">
        <v>0</v>
      </c>
      <c r="L18" s="431">
        <f>E18-B14</f>
        <v>4.1666666666666685E-2</v>
      </c>
      <c r="M18" s="423">
        <f>(D14/60)*0</f>
        <v>0</v>
      </c>
      <c r="N18" s="427">
        <f>IFERROR(J18*IF(AND(ISNUMBER(SEARCH(TEXT(C18,"ddd"),$G$11)),Data!$F$2),$G$14,$D$14)+K18*$G$14,"")</f>
        <v>201.92307692307691</v>
      </c>
      <c r="O18" s="141">
        <f t="shared" si="1"/>
        <v>201.92307692307691</v>
      </c>
      <c r="P18" s="89"/>
      <c r="Q18" s="89"/>
    </row>
    <row r="19" spans="2:34">
      <c r="B19" s="432"/>
      <c r="C19" s="429">
        <f t="shared" si="2"/>
        <v>46278</v>
      </c>
      <c r="D19" s="430">
        <f t="shared" si="2"/>
        <v>46278</v>
      </c>
      <c r="E19" s="424">
        <v>0</v>
      </c>
      <c r="F19" s="424">
        <v>0</v>
      </c>
      <c r="G19" s="424">
        <f t="shared" si="3"/>
        <v>0</v>
      </c>
      <c r="H19" s="424">
        <v>0</v>
      </c>
      <c r="I19" s="425">
        <v>0</v>
      </c>
      <c r="J19" s="425">
        <f t="shared" si="0"/>
        <v>0</v>
      </c>
      <c r="K19" s="425">
        <v>0</v>
      </c>
      <c r="L19" s="431">
        <v>0</v>
      </c>
      <c r="M19" s="98">
        <f>(D14/60)*0</f>
        <v>0</v>
      </c>
      <c r="N19" s="427">
        <f>IFERROR(J19*IF(AND(ISNUMBER(SEARCH(TEXT(C19,"ddd"),$G$11)),Data!$F$2),$G$14,$D$14)+K19*$G$14,"")</f>
        <v>0</v>
      </c>
      <c r="O19" s="150"/>
      <c r="P19" s="104"/>
      <c r="Q19" s="104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</row>
    <row r="20" spans="2:34">
      <c r="B20" s="432">
        <v>3</v>
      </c>
      <c r="C20" s="429">
        <f t="shared" si="2"/>
        <v>46279</v>
      </c>
      <c r="D20" s="430">
        <f t="shared" si="2"/>
        <v>46279</v>
      </c>
      <c r="E20" s="424">
        <v>0.33333333333333331</v>
      </c>
      <c r="F20" s="424">
        <v>0</v>
      </c>
      <c r="G20" s="424">
        <f t="shared" si="3"/>
        <v>0.33333333333333331</v>
      </c>
      <c r="H20" s="424">
        <v>0.75</v>
      </c>
      <c r="I20" s="425">
        <v>1</v>
      </c>
      <c r="J20" s="425">
        <f t="shared" si="0"/>
        <v>9</v>
      </c>
      <c r="K20" s="425">
        <v>0</v>
      </c>
      <c r="L20" s="431">
        <f>E20-B14</f>
        <v>0</v>
      </c>
      <c r="M20" s="423">
        <f>(D14/60)*0</f>
        <v>0</v>
      </c>
      <c r="N20" s="427">
        <f>IFERROR(J20*IF(AND(ISNUMBER(SEARCH(TEXT(C20,"ddd"),$G$11)),Data!$F$2),$G$14,$D$14)+K20*$G$14,"")</f>
        <v>605.76923076923072</v>
      </c>
      <c r="O20" s="150">
        <v>615.36</v>
      </c>
      <c r="P20" s="103"/>
      <c r="Q20" s="103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28"/>
    </row>
    <row r="21" spans="2:34">
      <c r="B21" s="432">
        <v>4</v>
      </c>
      <c r="C21" s="429">
        <f t="shared" si="2"/>
        <v>46280</v>
      </c>
      <c r="D21" s="430">
        <f t="shared" si="2"/>
        <v>46280</v>
      </c>
      <c r="E21" s="424">
        <v>0.33333333333333331</v>
      </c>
      <c r="F21" s="424">
        <v>0</v>
      </c>
      <c r="G21" s="424">
        <f t="shared" si="3"/>
        <v>0.33333333333333331</v>
      </c>
      <c r="H21" s="424">
        <v>0.75</v>
      </c>
      <c r="I21" s="425">
        <v>1</v>
      </c>
      <c r="J21" s="425">
        <f t="shared" si="0"/>
        <v>9</v>
      </c>
      <c r="K21" s="425">
        <v>0</v>
      </c>
      <c r="L21" s="431">
        <f>G21-B14</f>
        <v>0</v>
      </c>
      <c r="M21" s="423">
        <f>(D14/60)*0</f>
        <v>0</v>
      </c>
      <c r="N21" s="427">
        <f>IFERROR(J21*IF(AND(ISNUMBER(SEARCH(TEXT(C21,"ddd"),$G$11)),Data!$F$2),$G$14,$D$14)+K21*$G$14,"")</f>
        <v>605.76923076923072</v>
      </c>
      <c r="O21" s="141">
        <f t="shared" si="1"/>
        <v>605.76923076923072</v>
      </c>
      <c r="P21" s="108"/>
      <c r="Q21" s="108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4"/>
    </row>
    <row r="22" spans="2:34">
      <c r="B22" s="432">
        <v>5</v>
      </c>
      <c r="C22" s="429">
        <f t="shared" si="2"/>
        <v>46281</v>
      </c>
      <c r="D22" s="430">
        <f t="shared" si="2"/>
        <v>46281</v>
      </c>
      <c r="E22" s="424">
        <v>0.33750000000000002</v>
      </c>
      <c r="F22" s="424">
        <v>0</v>
      </c>
      <c r="G22" s="424">
        <f t="shared" si="3"/>
        <v>0.33750000000000002</v>
      </c>
      <c r="H22" s="424">
        <v>0.71388888888888891</v>
      </c>
      <c r="I22" s="425">
        <v>1</v>
      </c>
      <c r="J22" s="425">
        <f t="shared" si="0"/>
        <v>8.0333333333333332</v>
      </c>
      <c r="K22" s="425">
        <v>0</v>
      </c>
      <c r="L22" s="431">
        <f>E22-B14</f>
        <v>4.1666666666667074E-3</v>
      </c>
      <c r="M22" s="458">
        <f>(D14/60)*0</f>
        <v>0</v>
      </c>
      <c r="N22" s="456">
        <f>IFERROR(J22*IF(AND(ISNUMBER(SEARCH(TEXT(C22,"ddd"),$G$11)),Data!$F$2),$G$14,$D$14)+K22*$G$14,"")</f>
        <v>540.70512820512818</v>
      </c>
      <c r="O22" s="141">
        <f t="shared" si="1"/>
        <v>540.70512820512818</v>
      </c>
      <c r="P22" s="156"/>
      <c r="Q22" s="156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4"/>
    </row>
    <row r="23" spans="2:34">
      <c r="B23" s="432">
        <v>6</v>
      </c>
      <c r="C23" s="429">
        <f t="shared" si="2"/>
        <v>46282</v>
      </c>
      <c r="D23" s="430">
        <f t="shared" si="2"/>
        <v>46282</v>
      </c>
      <c r="E23" s="424">
        <v>0.33333333333333331</v>
      </c>
      <c r="F23" s="424">
        <v>0</v>
      </c>
      <c r="G23" s="424">
        <f t="shared" si="3"/>
        <v>0.33333333333333331</v>
      </c>
      <c r="H23" s="424">
        <v>0.67777777777777781</v>
      </c>
      <c r="I23" s="425">
        <v>1</v>
      </c>
      <c r="J23" s="425">
        <f t="shared" si="0"/>
        <v>7.2666666666666675</v>
      </c>
      <c r="K23" s="425">
        <v>0</v>
      </c>
      <c r="L23" s="431">
        <f>G23-B14</f>
        <v>0</v>
      </c>
      <c r="M23" s="423">
        <f>(D14/60)*0</f>
        <v>0</v>
      </c>
      <c r="N23" s="427">
        <f>IFERROR(J23*IF(AND(ISNUMBER(SEARCH(TEXT(C23,"ddd"),$G$11)),Data!$F$2),$G$14,$D$14)+K23*$G$14,"")</f>
        <v>489.10256410256414</v>
      </c>
      <c r="O23" s="141">
        <f t="shared" si="1"/>
        <v>489.10256410256414</v>
      </c>
      <c r="P23" s="150"/>
      <c r="Q23" s="89"/>
    </row>
    <row r="24" spans="2:34">
      <c r="B24" s="432">
        <v>7</v>
      </c>
      <c r="C24" s="429">
        <f t="shared" si="2"/>
        <v>46283</v>
      </c>
      <c r="D24" s="430">
        <f t="shared" si="2"/>
        <v>46283</v>
      </c>
      <c r="E24" s="424">
        <v>0.33333333333333331</v>
      </c>
      <c r="F24" s="424">
        <v>0</v>
      </c>
      <c r="G24" s="424">
        <f t="shared" si="3"/>
        <v>0.33333333333333331</v>
      </c>
      <c r="H24" s="424">
        <v>0.75</v>
      </c>
      <c r="I24" s="425">
        <v>1</v>
      </c>
      <c r="J24" s="425">
        <f t="shared" si="0"/>
        <v>9</v>
      </c>
      <c r="K24" s="425">
        <v>0</v>
      </c>
      <c r="L24" s="431">
        <f>E24-B14</f>
        <v>0</v>
      </c>
      <c r="M24" s="423">
        <f>(D14/60)*0</f>
        <v>0</v>
      </c>
      <c r="N24" s="427">
        <f>IFERROR(J24*IF(AND(ISNUMBER(SEARCH(TEXT(C24,"ddd"),$G$11)),Data!$F$2),$G$14,$D$14)+K24*$G$14,"")</f>
        <v>605.76923076923072</v>
      </c>
      <c r="O24" s="141">
        <f t="shared" si="1"/>
        <v>605.76923076923072</v>
      </c>
      <c r="P24" s="89"/>
      <c r="Q24" s="89"/>
    </row>
    <row r="25" spans="2:34">
      <c r="B25" s="432">
        <v>8</v>
      </c>
      <c r="C25" s="429">
        <f t="shared" si="2"/>
        <v>46284</v>
      </c>
      <c r="D25" s="430">
        <f t="shared" si="2"/>
        <v>46284</v>
      </c>
      <c r="E25" s="424">
        <v>0.375</v>
      </c>
      <c r="F25" s="424">
        <v>0</v>
      </c>
      <c r="G25" s="424">
        <f t="shared" ref="G25" si="4">E25-F25</f>
        <v>0.375</v>
      </c>
      <c r="H25" s="424">
        <v>0.5</v>
      </c>
      <c r="I25" s="425">
        <v>0</v>
      </c>
      <c r="J25" s="425">
        <f t="shared" ref="J25" si="5">IFERROR(IF(AND(G25&lt;&gt;"",H25&lt;&gt;""),IF(G25&gt;$B$14+TIME($C$14,($C$14-INT($C$14))*60,0),0,IF(H25&gt;$B$14+TIME($C$14,($C$14-INT($C$14))*60,0),MIN(TIME($C$14,($C$14-INT($C$14))*60,0),($B$14+TIME($C$14,($C$14-INT($C$14))*60,0)-G25)),MIN(IF((H25-$B$14)&lt;0,0,(H25-$B$14)),(H25-G25))))*24,"")-I25,"")</f>
        <v>3</v>
      </c>
      <c r="K25" s="425">
        <v>0</v>
      </c>
      <c r="L25" s="431">
        <f>E25-B14</f>
        <v>4.1666666666666685E-2</v>
      </c>
      <c r="M25" s="423">
        <f>(D14/60)*0</f>
        <v>0</v>
      </c>
      <c r="N25" s="427">
        <v>0</v>
      </c>
      <c r="O25" s="141">
        <f t="shared" si="1"/>
        <v>0</v>
      </c>
      <c r="P25" s="89"/>
      <c r="Q25" s="89"/>
    </row>
    <row r="26" spans="2:34">
      <c r="B26" s="432"/>
      <c r="C26" s="429">
        <f t="shared" si="2"/>
        <v>46285</v>
      </c>
      <c r="D26" s="430">
        <f t="shared" si="2"/>
        <v>46285</v>
      </c>
      <c r="E26" s="424">
        <v>0</v>
      </c>
      <c r="F26" s="424">
        <v>0</v>
      </c>
      <c r="G26" s="424">
        <f t="shared" si="3"/>
        <v>0</v>
      </c>
      <c r="H26" s="424">
        <v>0</v>
      </c>
      <c r="I26" s="425">
        <v>0</v>
      </c>
      <c r="J26" s="425">
        <f t="shared" si="0"/>
        <v>0</v>
      </c>
      <c r="K26" s="425">
        <v>0</v>
      </c>
      <c r="L26" s="431">
        <v>0</v>
      </c>
      <c r="M26" s="98">
        <f>(D14/60)*0</f>
        <v>0</v>
      </c>
      <c r="N26" s="427">
        <f>IFERROR(J26*IF(AND(ISNUMBER(SEARCH(TEXT(C26,"ddd"),$G$11)),Data!$F$2),$G$14,$D$14)+K26*$G$14,"")</f>
        <v>0</v>
      </c>
      <c r="O26" s="141">
        <f t="shared" si="1"/>
        <v>0</v>
      </c>
      <c r="P26" s="89"/>
      <c r="Q26" s="89"/>
    </row>
    <row r="27" spans="2:34">
      <c r="B27" s="432">
        <v>9</v>
      </c>
      <c r="C27" s="429">
        <f t="shared" si="2"/>
        <v>46286</v>
      </c>
      <c r="D27" s="430">
        <f t="shared" si="2"/>
        <v>46286</v>
      </c>
      <c r="E27" s="424">
        <v>0.33333333333333331</v>
      </c>
      <c r="F27" s="424">
        <v>0</v>
      </c>
      <c r="G27" s="424">
        <f t="shared" si="3"/>
        <v>0.33333333333333331</v>
      </c>
      <c r="H27" s="424">
        <v>0.75</v>
      </c>
      <c r="I27" s="425">
        <v>1</v>
      </c>
      <c r="J27" s="425">
        <f t="shared" si="0"/>
        <v>9</v>
      </c>
      <c r="K27" s="425">
        <f t="shared" ref="K27" si="6">IF(AND(G27&lt;&gt;"",H27&lt;&gt;""),((IF(G27&lt;$B$14,MIN($B$14-G27,H27-G27),0)+IF(H27&gt;$B$14+TIME($C$14,($C$14-INT($C$14))*60,0),MIN((H27-$B$14-TIME($C$14,($C$14-INT($C$14))*60,0)),(H27-G27)),0))*24),"")</f>
        <v>0</v>
      </c>
      <c r="L27" s="431">
        <v>0</v>
      </c>
      <c r="M27" s="423">
        <f>(D14/60)*0</f>
        <v>0</v>
      </c>
      <c r="N27" s="427">
        <f>IFERROR(J27*IF(AND(ISNUMBER(SEARCH(TEXT(C27,"ddd"),$G$11)),Data!$F$2),$G$14,$D$14)+K27*$G$14,"")</f>
        <v>605.76923076923072</v>
      </c>
      <c r="O27" s="141">
        <f t="shared" si="1"/>
        <v>605.76923076923072</v>
      </c>
    </row>
    <row r="28" spans="2:34">
      <c r="B28" s="432">
        <v>10</v>
      </c>
      <c r="C28" s="429">
        <f t="shared" si="2"/>
        <v>46287</v>
      </c>
      <c r="D28" s="430">
        <f t="shared" si="2"/>
        <v>46287</v>
      </c>
      <c r="E28" s="424">
        <v>0.33333333333333331</v>
      </c>
      <c r="F28" s="424">
        <v>0</v>
      </c>
      <c r="G28" s="424">
        <f t="shared" ref="G28" si="7">E28-F28</f>
        <v>0.33333333333333331</v>
      </c>
      <c r="H28" s="424">
        <v>0.75</v>
      </c>
      <c r="I28" s="425">
        <v>1</v>
      </c>
      <c r="J28" s="425">
        <f t="shared" ref="J28" si="8">IFERROR(IF(AND(G28&lt;&gt;"",H28&lt;&gt;""),IF(G28&gt;$B$14+TIME($C$14,($C$14-INT($C$14))*60,0),0,IF(H28&gt;$B$14+TIME($C$14,($C$14-INT($C$14))*60,0),MIN(TIME($C$14,($C$14-INT($C$14))*60,0),($B$14+TIME($C$14,($C$14-INT($C$14))*60,0)-G28)),MIN(IF((H28-$B$14)&lt;0,0,(H28-$B$14)),(H28-G28))))*24,"")-I28,"")</f>
        <v>9</v>
      </c>
      <c r="K28" s="425">
        <v>0</v>
      </c>
      <c r="L28" s="431">
        <v>0</v>
      </c>
      <c r="M28" s="423">
        <f>(D14/60)*0</f>
        <v>0</v>
      </c>
      <c r="N28" s="427">
        <f>IFERROR(J28*IF(AND(ISNUMBER(SEARCH(TEXT(C28,"ddd"),$G$11)),Data!$F$2),$G$14,$D$14)+K28*$G$14,"")</f>
        <v>605.76923076923072</v>
      </c>
      <c r="O28" s="141">
        <f t="shared" si="1"/>
        <v>605.76923076923072</v>
      </c>
    </row>
    <row r="29" spans="2:34">
      <c r="B29" s="432">
        <v>11</v>
      </c>
      <c r="C29" s="429">
        <f t="shared" si="2"/>
        <v>46288</v>
      </c>
      <c r="D29" s="430">
        <f t="shared" si="2"/>
        <v>46288</v>
      </c>
      <c r="E29" s="424">
        <v>0.33333333333333331</v>
      </c>
      <c r="F29" s="424">
        <v>0</v>
      </c>
      <c r="G29" s="424">
        <f t="shared" si="3"/>
        <v>0.33333333333333331</v>
      </c>
      <c r="H29" s="424">
        <v>0.73888888888888893</v>
      </c>
      <c r="I29" s="425">
        <v>1</v>
      </c>
      <c r="J29" s="425">
        <f t="shared" si="0"/>
        <v>8.7333333333333343</v>
      </c>
      <c r="K29" s="425">
        <v>0</v>
      </c>
      <c r="L29" s="431">
        <v>0</v>
      </c>
      <c r="M29" s="458">
        <v>0</v>
      </c>
      <c r="N29" s="427">
        <f>IFERROR(J29*IF(AND(ISNUMBER(SEARCH(TEXT(C29,"ddd"),$G$11)),Data!$F$2),$G$14,$D$14)+K29*$G$14,"")</f>
        <v>587.82051282051293</v>
      </c>
      <c r="O29" s="141">
        <f t="shared" si="1"/>
        <v>587.82051282051293</v>
      </c>
    </row>
    <row r="30" spans="2:34">
      <c r="B30" s="432">
        <v>12</v>
      </c>
      <c r="C30" s="429">
        <f t="shared" si="2"/>
        <v>46289</v>
      </c>
      <c r="D30" s="430">
        <f t="shared" si="2"/>
        <v>46289</v>
      </c>
      <c r="E30" s="424">
        <v>0.33333333333333331</v>
      </c>
      <c r="F30" s="424">
        <v>0</v>
      </c>
      <c r="G30" s="424">
        <f>E30-F30</f>
        <v>0.33333333333333331</v>
      </c>
      <c r="H30" s="424">
        <v>0.75</v>
      </c>
      <c r="I30" s="425">
        <v>1</v>
      </c>
      <c r="J30" s="425">
        <f t="shared" si="0"/>
        <v>9</v>
      </c>
      <c r="K30" s="425">
        <v>0</v>
      </c>
      <c r="L30" s="431">
        <f>G30-B14</f>
        <v>0</v>
      </c>
      <c r="M30" s="423">
        <f>(D14/60)*0</f>
        <v>0</v>
      </c>
      <c r="N30" s="427">
        <f>IFERROR(J30*IF(AND(ISNUMBER(SEARCH(TEXT(C30,"ddd"),$G$11)),Data!$F$2),$G$14,$D$14)+K30*$G$14,"")</f>
        <v>605.76923076923072</v>
      </c>
      <c r="O30" s="141">
        <f t="shared" si="1"/>
        <v>605.76923076923072</v>
      </c>
    </row>
    <row r="31" spans="2:34">
      <c r="B31" s="432">
        <v>13</v>
      </c>
      <c r="C31" s="429">
        <f t="shared" si="2"/>
        <v>46290</v>
      </c>
      <c r="D31" s="430">
        <f t="shared" si="2"/>
        <v>46290</v>
      </c>
      <c r="E31" s="424">
        <v>0.33333333333333331</v>
      </c>
      <c r="F31" s="424">
        <v>0</v>
      </c>
      <c r="G31" s="424">
        <f>E31-F31</f>
        <v>0.33333333333333331</v>
      </c>
      <c r="H31" s="424">
        <v>0.75</v>
      </c>
      <c r="I31" s="425">
        <v>1</v>
      </c>
      <c r="J31" s="425">
        <f t="shared" ref="J31" si="9">IFERROR(IF(AND(G31&lt;&gt;"",H31&lt;&gt;""),IF(G31&gt;$B$14+TIME($C$14,($C$14-INT($C$14))*60,0),0,IF(H31&gt;$B$14+TIME($C$14,($C$14-INT($C$14))*60,0),MIN(TIME($C$14,($C$14-INT($C$14))*60,0),($B$14+TIME($C$14,($C$14-INT($C$14))*60,0)-G31)),MIN(IF((H31-$B$14)&lt;0,0,(H31-$B$14)),(H31-G31))))*24,"")-I31,"")</f>
        <v>9</v>
      </c>
      <c r="K31" s="425">
        <v>0</v>
      </c>
      <c r="L31" s="431">
        <f>E31-B14</f>
        <v>0</v>
      </c>
      <c r="M31" s="423">
        <f>(D15/60)*0</f>
        <v>0</v>
      </c>
      <c r="N31" s="427">
        <f>IFERROR(J31*IF(AND(ISNUMBER(SEARCH(TEXT(C31,"ddd"),$G$11)),Data!$F$2),$G$14,$D$14)+K31*$G$14,"")</f>
        <v>605.76923076923072</v>
      </c>
      <c r="O31" s="141">
        <f t="shared" si="1"/>
        <v>605.76923076923072</v>
      </c>
    </row>
    <row r="32" spans="2:34">
      <c r="B32" s="66"/>
      <c r="C32" s="442"/>
      <c r="D32" s="443"/>
      <c r="E32" s="444"/>
      <c r="F32" s="444"/>
      <c r="G32" s="593" t="s">
        <v>182</v>
      </c>
      <c r="H32" s="594"/>
      <c r="I32" s="445">
        <f>SUM(I17:I31)</f>
        <v>11</v>
      </c>
      <c r="J32" s="445">
        <f>SUM(J17:J31)</f>
        <v>102.03333333333333</v>
      </c>
      <c r="K32" s="445">
        <f>SUM(K17:K31)</f>
        <v>0</v>
      </c>
      <c r="L32" s="445">
        <f>SUM(L17:L31)</f>
        <v>8.7500000000000078E-2</v>
      </c>
      <c r="M32" s="445">
        <f>SUM(M17:M31)</f>
        <v>0</v>
      </c>
      <c r="N32" s="442"/>
    </row>
    <row r="33" spans="2:16">
      <c r="B33" s="66"/>
      <c r="C33" s="76"/>
      <c r="D33" s="77"/>
      <c r="E33" s="144"/>
      <c r="F33" s="144"/>
      <c r="G33" s="81" t="s">
        <v>39</v>
      </c>
      <c r="H33" s="82"/>
      <c r="I33" s="83"/>
      <c r="J33" s="84"/>
      <c r="K33" s="116"/>
      <c r="L33" s="117">
        <f>(D14/60)*0</f>
        <v>0</v>
      </c>
      <c r="M33" s="118"/>
      <c r="N33" s="119">
        <f>(H14*D14)-N37</f>
        <v>7000</v>
      </c>
      <c r="O33" s="151">
        <f>SUM(O17:O31)</f>
        <v>6675.2958974358962</v>
      </c>
      <c r="P33" s="157">
        <f>N33-O33</f>
        <v>324.70410256410378</v>
      </c>
    </row>
    <row r="34" spans="2:16">
      <c r="B34" s="65"/>
      <c r="C34" s="65"/>
      <c r="D34" s="85"/>
      <c r="E34" s="85"/>
      <c r="F34" s="85"/>
      <c r="G34" s="592" t="s">
        <v>183</v>
      </c>
      <c r="H34" s="592"/>
      <c r="I34" s="80"/>
      <c r="J34" s="80">
        <f>H14-J32</f>
        <v>1.9666666666666686</v>
      </c>
      <c r="K34" s="65"/>
      <c r="L34" s="120"/>
      <c r="M34" s="65"/>
      <c r="N34" s="121">
        <f>M32</f>
        <v>0</v>
      </c>
      <c r="O34" s="151">
        <f>N37</f>
        <v>0</v>
      </c>
    </row>
    <row r="35" spans="2:16">
      <c r="B35" s="65"/>
      <c r="C35" s="65"/>
      <c r="D35" s="85"/>
      <c r="E35" s="145"/>
      <c r="F35" s="145"/>
      <c r="G35" s="78" t="s">
        <v>41</v>
      </c>
      <c r="H35" s="79"/>
      <c r="I35" s="66"/>
      <c r="J35" s="66"/>
      <c r="K35" s="80"/>
      <c r="L35" s="80"/>
      <c r="M35" s="80"/>
      <c r="N35" s="121">
        <f>N33-N34</f>
        <v>7000</v>
      </c>
      <c r="O35" s="95">
        <f>M32</f>
        <v>0</v>
      </c>
    </row>
    <row r="36" spans="2:16">
      <c r="B36" s="65"/>
      <c r="C36" s="65"/>
      <c r="D36" s="85"/>
      <c r="E36" s="146"/>
      <c r="F36" s="146"/>
      <c r="G36" s="595" t="s">
        <v>202</v>
      </c>
      <c r="H36" s="596"/>
      <c r="I36" s="80"/>
      <c r="J36" s="66"/>
      <c r="K36" s="122"/>
      <c r="L36" s="122"/>
      <c r="M36" s="122"/>
      <c r="N36" s="123">
        <f>D14*K32</f>
        <v>0</v>
      </c>
      <c r="O36" s="95">
        <f>O33-O34-O35</f>
        <v>6675.2958974358962</v>
      </c>
    </row>
    <row r="37" spans="2:16">
      <c r="B37" s="65"/>
      <c r="C37" s="65"/>
      <c r="D37" s="85"/>
      <c r="E37" s="146"/>
      <c r="F37" s="146"/>
      <c r="G37" s="86" t="s">
        <v>203</v>
      </c>
      <c r="H37" s="87"/>
      <c r="I37" s="80"/>
      <c r="J37" s="66"/>
      <c r="K37" s="122"/>
      <c r="L37" s="122"/>
      <c r="M37" s="122"/>
      <c r="N37" s="123">
        <v>0</v>
      </c>
      <c r="O37" s="95">
        <f>N37</f>
        <v>0</v>
      </c>
    </row>
    <row r="38" spans="2:16">
      <c r="B38" s="65"/>
      <c r="C38" s="65"/>
      <c r="D38" s="85"/>
      <c r="E38" s="145"/>
      <c r="F38" s="145"/>
      <c r="G38" s="597" t="s">
        <v>186</v>
      </c>
      <c r="H38" s="598"/>
      <c r="I38" s="66"/>
      <c r="J38" s="66"/>
      <c r="K38" s="66"/>
      <c r="L38" s="66"/>
      <c r="M38" s="66"/>
      <c r="N38" s="124">
        <f>N35+N36+N37</f>
        <v>7000</v>
      </c>
      <c r="O38" s="95">
        <f>O36+O37</f>
        <v>6675.2958974358962</v>
      </c>
    </row>
    <row r="39" spans="2:16">
      <c r="D39" s="88"/>
      <c r="E39" s="88"/>
      <c r="F39" s="88"/>
      <c r="G39" s="589"/>
      <c r="H39" s="589"/>
      <c r="I39" s="90"/>
      <c r="J39" s="90"/>
      <c r="K39" s="125"/>
      <c r="L39" s="125"/>
      <c r="M39" s="125"/>
      <c r="N39" s="126"/>
      <c r="O39" s="127"/>
    </row>
    <row r="40" spans="2:16">
      <c r="D40" s="91"/>
      <c r="E40" s="91"/>
      <c r="F40" s="91"/>
    </row>
    <row r="41" spans="2:16">
      <c r="B41" s="590" t="s">
        <v>187</v>
      </c>
      <c r="C41" s="590"/>
      <c r="D41" s="590"/>
      <c r="E41" s="590"/>
      <c r="F41" s="590"/>
      <c r="G41" s="590"/>
      <c r="H41" s="590"/>
      <c r="I41" s="590"/>
      <c r="J41" s="590"/>
      <c r="K41" s="590"/>
      <c r="L41" s="590"/>
      <c r="M41" s="590"/>
      <c r="N41" s="590"/>
    </row>
    <row r="42" spans="2:16">
      <c r="D42" s="91"/>
      <c r="E42" s="91"/>
      <c r="F42" s="91"/>
    </row>
    <row r="43" spans="2:16">
      <c r="D43" s="91" t="s">
        <v>188</v>
      </c>
      <c r="E43" s="91"/>
      <c r="F43" s="91"/>
      <c r="N43" s="95"/>
    </row>
    <row r="44" spans="2:16">
      <c r="D44" s="54" t="s">
        <v>10</v>
      </c>
      <c r="E44" s="54"/>
      <c r="F44" s="54"/>
      <c r="G44" s="54" t="s">
        <v>11</v>
      </c>
      <c r="H44" s="54" t="s">
        <v>12</v>
      </c>
      <c r="I44" s="55" t="s">
        <v>13</v>
      </c>
    </row>
    <row r="45" spans="2:16">
      <c r="D45" s="56">
        <v>2026</v>
      </c>
      <c r="E45" s="56"/>
      <c r="F45" s="56"/>
      <c r="G45" s="56" t="s">
        <v>204</v>
      </c>
      <c r="H45" s="56">
        <v>12</v>
      </c>
      <c r="I45" s="56" t="s">
        <v>15</v>
      </c>
    </row>
    <row r="46" spans="2:16">
      <c r="D46" s="57"/>
      <c r="E46" s="57"/>
      <c r="F46" s="57"/>
      <c r="G46" s="57"/>
    </row>
    <row r="47" spans="2:16" ht="33.75">
      <c r="D47" s="58" t="s">
        <v>16</v>
      </c>
      <c r="E47" s="58"/>
      <c r="F47" s="58"/>
      <c r="G47" s="58" t="s">
        <v>17</v>
      </c>
      <c r="H47" s="58" t="s">
        <v>18</v>
      </c>
      <c r="I47" s="58" t="s">
        <v>19</v>
      </c>
    </row>
    <row r="48" spans="2:16">
      <c r="D48" s="61">
        <v>0.33333333333333298</v>
      </c>
      <c r="E48" s="61"/>
      <c r="F48" s="61"/>
      <c r="G48" s="62">
        <v>10</v>
      </c>
      <c r="H48" s="63">
        <f>D14</f>
        <v>67.307692307692307</v>
      </c>
      <c r="I48" s="130">
        <f>(H48*30%)+H48</f>
        <v>87.5</v>
      </c>
    </row>
    <row r="50" spans="3:14">
      <c r="C50" s="131" t="s">
        <v>20</v>
      </c>
      <c r="D50" s="131" t="s">
        <v>12</v>
      </c>
      <c r="E50" s="131"/>
      <c r="F50" s="131"/>
      <c r="G50" s="131" t="s">
        <v>21</v>
      </c>
      <c r="H50" s="131" t="s">
        <v>22</v>
      </c>
      <c r="I50" s="131" t="s">
        <v>23</v>
      </c>
      <c r="J50" s="131" t="s">
        <v>24</v>
      </c>
      <c r="K50" s="131" t="s">
        <v>25</v>
      </c>
      <c r="L50" s="131"/>
      <c r="M50" s="131"/>
      <c r="N50" s="131" t="s">
        <v>26</v>
      </c>
    </row>
    <row r="51" spans="3:14">
      <c r="C51" s="70" t="s">
        <v>353</v>
      </c>
      <c r="D51" s="71">
        <f>DATE($B$11,MATCH($G$45,Data!$B$2:$B$13,0),PAALAN!$H$45)</f>
        <v>46185</v>
      </c>
      <c r="E51" s="71"/>
      <c r="F51" s="71"/>
      <c r="G51" s="72">
        <v>0.33333333333333331</v>
      </c>
      <c r="H51" s="72">
        <v>0.75</v>
      </c>
      <c r="I51" s="73">
        <v>1</v>
      </c>
      <c r="J51" s="73">
        <f>IFERROR(IF(AND(G51&lt;&gt;"",H51&lt;&gt;""),IF(G51&gt;$B$14+TIME($C$14,($C$14-INT($C$14))*60,0),0,IF(H51&gt;$B$14+TIME($C$14,($C$14-INT($C$14))*60,0),MIN(TIME($C$14,($C$14-INT($C$14))*60,0),($B$14+TIME($C$14,($C$14-INT($C$14))*60,0)-G51)),MIN(IF((H51-$B$14)&lt;0,0,(H51-$B$14)),(H51-G51))))*24,"")-I51,"")</f>
        <v>9</v>
      </c>
      <c r="K51" s="73">
        <f>IF(AND(G51&lt;&gt;"",H51&lt;&gt;""),((IF(G51&lt;$D$48,MIN($D$48-G51,H51-G51),0)+IF(H51&gt;$D$48+TIME($G$48,($G$48-INT($G$48))*60,0),MIN((H51-$D$48-TIME($G$48,($G$48-INT($G$48))*60,0)),(H51-G51)),0))*24),"")</f>
        <v>0</v>
      </c>
      <c r="L51" s="73"/>
      <c r="M51" s="73"/>
      <c r="N51" s="99">
        <f>J51*H48</f>
        <v>605.76923076923072</v>
      </c>
    </row>
    <row r="52" spans="3:14">
      <c r="C52" s="70" t="s">
        <v>445</v>
      </c>
      <c r="D52" s="71">
        <v>23</v>
      </c>
      <c r="E52" s="71"/>
      <c r="F52" s="71"/>
      <c r="G52" s="72">
        <v>0</v>
      </c>
      <c r="H52" s="72">
        <v>0</v>
      </c>
      <c r="I52" s="73">
        <v>0</v>
      </c>
      <c r="J52" s="73">
        <f>IFERROR(IF(AND(G52&lt;&gt;"",H52&lt;&gt;""),IF(G52&gt;$B$14+TIME($C$14,($C$14-INT($C$14))*60,0),0,IF(H52&gt;$B$14+TIME($C$14,($C$14-INT($C$14))*60,0),MIN(TIME($C$14,($C$14-INT($C$14))*60,0),($B$14+TIME($C$14,($C$14-INT($C$14))*60,0)-G52)),MIN(IF((H52-$B$14)&lt;0,0,(H52-$B$14)),(H52-G52))))*24,"")-I52,"")</f>
        <v>0</v>
      </c>
      <c r="K52" s="73">
        <f>IF(AND(G52&lt;&gt;"",H52&lt;&gt;""),((IF(G52&lt;$D$48,MIN($D$48-G52,H52-G52),0)+IF(H52&gt;$D$48+TIME($G$48,($G$48-INT($G$48))*60,0),MIN((H52-$D$48-TIME($G$48,($G$48-INT($G$48))*60,0)),(H52-G52)),0))*24),"")</f>
        <v>0</v>
      </c>
      <c r="L52" s="73"/>
      <c r="M52" s="73"/>
      <c r="N52" s="99">
        <f>J52*H48</f>
        <v>0</v>
      </c>
    </row>
    <row r="53" spans="3:14"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318">
        <f>SUM(N51:N52)</f>
        <v>605.76923076923072</v>
      </c>
    </row>
    <row r="54" spans="3:14">
      <c r="N54" s="138"/>
    </row>
    <row r="55" spans="3:14">
      <c r="N55" s="138"/>
    </row>
    <row r="56" spans="3:14">
      <c r="D56" s="132" t="s">
        <v>190</v>
      </c>
      <c r="E56" s="132"/>
      <c r="F56" s="132"/>
      <c r="G56" s="133"/>
      <c r="H56" s="133"/>
      <c r="I56" s="133"/>
    </row>
    <row r="57" spans="3:14">
      <c r="D57" s="132"/>
      <c r="E57" s="132"/>
      <c r="F57" s="132"/>
      <c r="G57" s="133"/>
      <c r="H57" s="133"/>
      <c r="I57" s="133"/>
    </row>
    <row r="58" spans="3:14">
      <c r="D58" s="132"/>
      <c r="E58" s="132"/>
      <c r="F58" s="132"/>
      <c r="G58" s="133"/>
      <c r="H58" s="133"/>
      <c r="I58" s="133"/>
    </row>
    <row r="59" spans="3:14">
      <c r="D59" s="591">
        <v>44981</v>
      </c>
      <c r="E59" s="591"/>
      <c r="F59" s="591"/>
      <c r="G59" s="88">
        <v>0</v>
      </c>
      <c r="H59" s="148" t="s">
        <v>280</v>
      </c>
      <c r="I59" s="254"/>
      <c r="J59" s="90"/>
      <c r="K59" s="90"/>
      <c r="L59" s="125"/>
    </row>
    <row r="60" spans="3:14">
      <c r="E60" s="88"/>
      <c r="F60" s="88"/>
      <c r="G60" s="88">
        <f>G59*H60</f>
        <v>0</v>
      </c>
      <c r="H60" s="253">
        <v>0.3</v>
      </c>
      <c r="I60" s="254"/>
      <c r="J60" s="90"/>
      <c r="K60" s="90"/>
      <c r="L60" s="125"/>
    </row>
    <row r="61" spans="3:14">
      <c r="E61" s="91"/>
      <c r="F61" s="91"/>
      <c r="G61" s="91"/>
    </row>
    <row r="62" spans="3:14">
      <c r="E62" s="91"/>
      <c r="F62" s="91"/>
      <c r="G62" s="91"/>
      <c r="H62" s="91">
        <f>G60</f>
        <v>0</v>
      </c>
    </row>
    <row r="63" spans="3:14">
      <c r="E63" s="91"/>
      <c r="F63" s="91"/>
      <c r="G63" s="91"/>
    </row>
    <row r="72" spans="3:3">
      <c r="C72" s="91" t="s">
        <v>141</v>
      </c>
    </row>
    <row r="73" spans="3:3">
      <c r="C73" t="s">
        <v>66</v>
      </c>
    </row>
    <row r="74" spans="3:3">
      <c r="C74" s="91"/>
    </row>
  </sheetData>
  <mergeCells count="9">
    <mergeCell ref="G39:H39"/>
    <mergeCell ref="B41:N41"/>
    <mergeCell ref="D59:F59"/>
    <mergeCell ref="G34:H34"/>
    <mergeCell ref="C7:D7"/>
    <mergeCell ref="C8:D8"/>
    <mergeCell ref="G32:H32"/>
    <mergeCell ref="G36:H36"/>
    <mergeCell ref="G38:H38"/>
  </mergeCells>
  <conditionalFormatting sqref="C17:F31">
    <cfRule type="expression" dxfId="290" priority="21">
      <formula>ISNUMBER(SEARCH(TEXT($C17,"ddd"),$G$11))</formula>
    </cfRule>
  </conditionalFormatting>
  <conditionalFormatting sqref="C51:N52">
    <cfRule type="expression" dxfId="289" priority="28">
      <formula>ISNUMBER(SEARCH(TEXT($C51,"ddd"),$G$11))</formula>
    </cfRule>
  </conditionalFormatting>
  <conditionalFormatting sqref="G17:H18">
    <cfRule type="expression" dxfId="288" priority="4">
      <formula>ISNUMBER(SEARCH(TEXT($C17,"ddd"),$G$11))</formula>
    </cfRule>
  </conditionalFormatting>
  <conditionalFormatting sqref="G19:K21">
    <cfRule type="expression" dxfId="287" priority="10">
      <formula>ISNUMBER(SEARCH(TEXT($C19,"ddd"),$G$11))</formula>
    </cfRule>
  </conditionalFormatting>
  <conditionalFormatting sqref="G25:K28">
    <cfRule type="expression" dxfId="286" priority="1">
      <formula>ISNUMBER(SEARCH(TEXT($C25,"ddd"),$G$11))</formula>
    </cfRule>
  </conditionalFormatting>
  <conditionalFormatting sqref="G31:K31">
    <cfRule type="expression" dxfId="285" priority="8">
      <formula>ISNUMBER(SEARCH(TEXT($C31,"ddd"),$G$11))</formula>
    </cfRule>
  </conditionalFormatting>
  <conditionalFormatting sqref="G22:L24">
    <cfRule type="expression" dxfId="284" priority="6">
      <formula>ISNUMBER(SEARCH(TEXT($C22,"ddd"),$G$11))</formula>
    </cfRule>
  </conditionalFormatting>
  <conditionalFormatting sqref="G29:L30">
    <cfRule type="expression" dxfId="283" priority="12">
      <formula>ISNUMBER(SEARCH(TEXT($C29,"ddd"),$G$11))</formula>
    </cfRule>
  </conditionalFormatting>
  <conditionalFormatting sqref="I17:L17 N17:N31 I18:K18">
    <cfRule type="expression" dxfId="282" priority="88">
      <formula>ISNUMBER(SEARCH(TEXT($C17,"ddd"),$G$11))</formula>
    </cfRule>
  </conditionalFormatting>
  <conditionalFormatting sqref="L17:L31">
    <cfRule type="expression" dxfId="281" priority="15">
      <formula>ISNUMBER(SEARCH(TEXT($C17,"ddd"),$G$11))</formula>
    </cfRule>
  </conditionalFormatting>
  <dataValidations count="3">
    <dataValidation type="custom" allowBlank="1" showInputMessage="1" showErrorMessage="1" sqref="H51:H52 H17:H31" xr:uid="{00000000-0002-0000-0D00-000000000000}">
      <formula1>AND($H17&lt;=1,ISNUMBER($H17),($H17&gt;=$G17))</formula1>
    </dataValidation>
    <dataValidation type="list" allowBlank="1" showInputMessage="1" showErrorMessage="1" sqref="H45 D11:F11" xr:uid="{00000000-0002-0000-0D00-000001000000}">
      <formula1>DateCalc</formula1>
    </dataValidation>
    <dataValidation type="custom" allowBlank="1" showInputMessage="1" showErrorMessage="1" sqref="G51:G52 E17:G31" xr:uid="{00000000-0002-0000-0D00-000002000000}">
      <formula1>AND($G17&lt;=1,ISNUMBER($G17))</formula1>
    </dataValidation>
  </dataValidations>
  <pageMargins left="0.81458333333333299" right="0.25" top="0.45486111111111099" bottom="0.36944444444444402" header="0.29861111111111099" footer="0.29861111111111099"/>
  <pageSetup paperSize="9" scale="91" orientation="landscape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87745" r:id="rId4" name="Check Box 1">
              <controlPr defaultSize="0" print="0" autoPict="0">
                <anchor moveWithCells="1">
                  <from>
                    <xdr:col>7</xdr:col>
                    <xdr:colOff>180975</xdr:colOff>
                    <xdr:row>9</xdr:row>
                    <xdr:rowOff>28575</xdr:rowOff>
                  </from>
                  <to>
                    <xdr:col>8</xdr:col>
                    <xdr:colOff>571500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D00-000003000000}">
          <x14:formula1>
            <xm:f>Data!$B$2:$B$13</xm:f>
          </x14:formula1>
          <xm:sqref>G45 C11</xm:sqref>
        </x14:dataValidation>
        <x14:dataValidation type="list" allowBlank="1" showInputMessage="1" showErrorMessage="1" xr:uid="{00000000-0002-0000-0D00-000004000000}">
          <x14:formula1>
            <xm:f>Data!$D$2:$D$16</xm:f>
          </x14:formula1>
          <xm:sqref>G11 I45</xm:sqref>
        </x14:dataValidation>
        <x14:dataValidation type="list" allowBlank="1" showInputMessage="1" showErrorMessage="1" xr:uid="{00000000-0002-0000-0D00-000005000000}">
          <x14:formula1>
            <xm:f>Data!$A$2:$A$15</xm:f>
          </x14:formula1>
          <xm:sqref>D45:F45 B11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B6:AH74"/>
  <sheetViews>
    <sheetView showGridLines="0" showWhiteSpace="0" view="pageLayout" topLeftCell="A8" zoomScale="120" zoomScaleNormal="100" zoomScalePageLayoutView="120" workbookViewId="0">
      <selection activeCell="M36" sqref="M36"/>
    </sheetView>
  </sheetViews>
  <sheetFormatPr defaultColWidth="9" defaultRowHeight="12.75"/>
  <cols>
    <col min="1" max="1" width="1.625" customWidth="1"/>
    <col min="2" max="2" width="5.375" customWidth="1"/>
    <col min="3" max="3" width="7.125" customWidth="1"/>
    <col min="4" max="5" width="7.625" customWidth="1"/>
    <col min="6" max="6" width="11" customWidth="1"/>
    <col min="7" max="7" width="10.125" customWidth="1"/>
    <col min="8" max="8" width="9.625" customWidth="1"/>
    <col min="9" max="9" width="8.125" customWidth="1"/>
    <col min="10" max="10" width="10.125" customWidth="1"/>
    <col min="11" max="11" width="7.875" customWidth="1"/>
    <col min="12" max="12" width="11.125" customWidth="1"/>
    <col min="13" max="13" width="10.875" customWidth="1"/>
    <col min="14" max="14" width="12.125" customWidth="1"/>
    <col min="15" max="15" width="16.875" customWidth="1"/>
  </cols>
  <sheetData>
    <row r="6" spans="2:21" ht="25.5" customHeight="1"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</row>
    <row r="7" spans="2:21" ht="18.75" customHeight="1">
      <c r="C7" s="527" t="s">
        <v>3</v>
      </c>
      <c r="D7" s="527"/>
      <c r="E7" s="49"/>
      <c r="F7" s="49"/>
      <c r="G7" s="50" t="s">
        <v>325</v>
      </c>
      <c r="H7" s="51"/>
      <c r="J7" s="49" t="s">
        <v>174</v>
      </c>
      <c r="L7" s="599" t="str">
        <f>PAALAN!L7</f>
        <v>September  11-25, 2026</v>
      </c>
      <c r="M7" s="599"/>
      <c r="N7" s="599"/>
    </row>
    <row r="8" spans="2:21" ht="18.75" customHeight="1">
      <c r="C8" s="527" t="s">
        <v>175</v>
      </c>
      <c r="D8" s="527"/>
      <c r="E8" s="49"/>
      <c r="F8" s="49"/>
      <c r="G8" s="50" t="s">
        <v>310</v>
      </c>
      <c r="H8" s="51"/>
      <c r="J8" s="49" t="s">
        <v>176</v>
      </c>
      <c r="L8" s="600" t="str">
        <f>PAALAN!L8</f>
        <v>9/31/2026</v>
      </c>
      <c r="M8" s="600"/>
      <c r="N8" s="600"/>
    </row>
    <row r="9" spans="2:21">
      <c r="C9" s="52"/>
      <c r="D9" s="53"/>
      <c r="E9" s="53"/>
      <c r="F9" s="53"/>
      <c r="G9" s="53"/>
    </row>
    <row r="10" spans="2:21">
      <c r="B10" s="54" t="s">
        <v>10</v>
      </c>
      <c r="C10" s="54" t="s">
        <v>11</v>
      </c>
      <c r="D10" s="54" t="s">
        <v>12</v>
      </c>
      <c r="E10" s="54"/>
      <c r="F10" s="54"/>
      <c r="G10" s="55" t="s">
        <v>13</v>
      </c>
    </row>
    <row r="11" spans="2:21">
      <c r="B11" s="56">
        <v>2026</v>
      </c>
      <c r="C11" s="56" t="s">
        <v>177</v>
      </c>
      <c r="D11" s="56">
        <v>11</v>
      </c>
      <c r="E11" s="56"/>
      <c r="F11" s="56"/>
      <c r="G11" s="56" t="s">
        <v>178</v>
      </c>
    </row>
    <row r="12" spans="2:21">
      <c r="B12" s="57"/>
      <c r="C12" s="57"/>
      <c r="H12" s="57"/>
      <c r="K12" s="57"/>
      <c r="L12" s="57"/>
      <c r="M12" s="57"/>
    </row>
    <row r="13" spans="2:21" ht="32.1" customHeight="1">
      <c r="B13" s="58" t="s">
        <v>16</v>
      </c>
      <c r="C13" s="58" t="s">
        <v>17</v>
      </c>
      <c r="D13" s="58" t="s">
        <v>18</v>
      </c>
      <c r="E13" s="59"/>
      <c r="F13" s="59"/>
      <c r="G13" s="59" t="s">
        <v>19</v>
      </c>
      <c r="H13" s="60" t="s">
        <v>179</v>
      </c>
      <c r="L13" s="93"/>
      <c r="M13" s="93"/>
      <c r="N13" s="94"/>
      <c r="O13" s="159" t="s">
        <v>16</v>
      </c>
      <c r="P13" s="159" t="s">
        <v>17</v>
      </c>
      <c r="Q13" s="159" t="s">
        <v>18</v>
      </c>
      <c r="R13" s="160"/>
      <c r="S13" s="160"/>
      <c r="T13" s="160" t="s">
        <v>19</v>
      </c>
      <c r="U13" s="161" t="s">
        <v>179</v>
      </c>
    </row>
    <row r="14" spans="2:21">
      <c r="B14" s="61">
        <v>0.33333333333333331</v>
      </c>
      <c r="C14" s="62">
        <v>10</v>
      </c>
      <c r="D14" s="63">
        <f>(18433.28/26)/8</f>
        <v>88.621538461538449</v>
      </c>
      <c r="E14" s="142"/>
      <c r="F14" s="142"/>
      <c r="G14" s="64">
        <f>(D14*25%)+D14</f>
        <v>110.77692307692305</v>
      </c>
      <c r="H14" s="65">
        <v>104</v>
      </c>
      <c r="L14" s="57"/>
      <c r="M14" s="57"/>
      <c r="N14" s="95"/>
      <c r="O14" s="61">
        <v>0.375</v>
      </c>
      <c r="P14" s="62">
        <v>3</v>
      </c>
      <c r="Q14" s="63">
        <f>(13040/26)/8</f>
        <v>62.692307692307693</v>
      </c>
      <c r="R14" s="142"/>
      <c r="S14" s="142"/>
      <c r="T14" s="64">
        <f>(Q14*25%)+Q14</f>
        <v>78.365384615384613</v>
      </c>
      <c r="U14" s="65">
        <v>105</v>
      </c>
    </row>
    <row r="15" spans="2:21">
      <c r="N15" s="96"/>
    </row>
    <row r="16" spans="2:21" ht="23.25">
      <c r="B16" s="66"/>
      <c r="C16" s="67" t="s">
        <v>20</v>
      </c>
      <c r="D16" s="67" t="s">
        <v>12</v>
      </c>
      <c r="E16" s="67" t="s">
        <v>21</v>
      </c>
      <c r="F16" s="68" t="s">
        <v>201</v>
      </c>
      <c r="G16" s="67" t="s">
        <v>21</v>
      </c>
      <c r="H16" s="67" t="s">
        <v>22</v>
      </c>
      <c r="I16" s="68" t="s">
        <v>23</v>
      </c>
      <c r="J16" s="68" t="s">
        <v>24</v>
      </c>
      <c r="K16" s="68" t="s">
        <v>25</v>
      </c>
      <c r="L16" s="67" t="s">
        <v>180</v>
      </c>
      <c r="M16" s="134" t="s">
        <v>181</v>
      </c>
      <c r="N16" s="67" t="s">
        <v>26</v>
      </c>
    </row>
    <row r="17" spans="2:34">
      <c r="B17" s="432">
        <v>1</v>
      </c>
      <c r="C17" s="429">
        <f>DATE($B$11,MATCH($C$11,Data!$B$2:$B$13,0),PATRICIO!$D$11)</f>
        <v>46276</v>
      </c>
      <c r="D17" s="430">
        <f>DATE($B$11,MATCH($C$11,Data!$B$2:$B$13,0),PATRICIO!$D$11)</f>
        <v>46276</v>
      </c>
      <c r="E17" s="424">
        <v>0.33333333333333331</v>
      </c>
      <c r="F17" s="424">
        <v>0</v>
      </c>
      <c r="G17" s="424">
        <f t="shared" ref="G17:G19" si="0">E17-F17</f>
        <v>0.33333333333333331</v>
      </c>
      <c r="H17" s="424">
        <v>0.75</v>
      </c>
      <c r="I17" s="425">
        <v>1</v>
      </c>
      <c r="J17" s="425">
        <f t="shared" ref="J17:J28" si="1">IFERROR(IF(AND(G17&lt;&gt;"",H17&lt;&gt;""),IF(G17&gt;$B$14+TIME($C$14,($C$14-INT($C$14))*60,0),0,IF(H17&gt;$B$14+TIME($C$14,($C$14-INT($C$14))*60,0),MIN(TIME($C$14,($C$14-INT($C$14))*60,0),($B$14+TIME($C$14,($C$14-INT($C$14))*60,0)-G17)),MIN(IF((H17-$B$14)&lt;0,0,(H17-$B$14)),(H17-G17))))*24,"")-I17,"")</f>
        <v>9</v>
      </c>
      <c r="K17" s="425">
        <f t="shared" ref="K17:K29" si="2">IF(AND(G17&lt;&gt;"",H17&lt;&gt;""),((IF(G17&lt;$B$14,MIN($B$14-G17,H17-G17),0)+IF(H17&gt;$B$14+TIME($C$14,($C$14-INT($C$14))*60,0),MIN((H17-$B$14-TIME($C$14,($C$14-INT($C$14))*60,0)),(H17-G17)),0))*24),"")</f>
        <v>0</v>
      </c>
      <c r="L17" s="426">
        <v>0</v>
      </c>
      <c r="M17" s="423">
        <f>(D14/60)*0</f>
        <v>0</v>
      </c>
      <c r="N17" s="427">
        <f>IFERROR(J17*IF(AND(ISNUMBER(SEARCH(TEXT(C17,"ddd"),$G$11)),Data!$F$2),$G$14,$D$14)+K17*$G$14,"")</f>
        <v>797.59384615384602</v>
      </c>
      <c r="O17" s="141">
        <f t="shared" ref="O17:O31" si="3">M17+N17</f>
        <v>797.59384615384602</v>
      </c>
      <c r="P17" s="89"/>
      <c r="Q17" s="89"/>
    </row>
    <row r="18" spans="2:34">
      <c r="B18" s="432">
        <v>2</v>
      </c>
      <c r="C18" s="429">
        <f t="shared" ref="C18:D31" si="4">C17+1</f>
        <v>46277</v>
      </c>
      <c r="D18" s="430">
        <f t="shared" si="4"/>
        <v>46277</v>
      </c>
      <c r="E18" s="424">
        <v>0.375</v>
      </c>
      <c r="F18" s="424">
        <v>0</v>
      </c>
      <c r="G18" s="424">
        <f t="shared" si="0"/>
        <v>0.375</v>
      </c>
      <c r="H18" s="424">
        <v>0.5</v>
      </c>
      <c r="I18" s="425">
        <v>0</v>
      </c>
      <c r="J18" s="425">
        <f t="shared" si="1"/>
        <v>3</v>
      </c>
      <c r="K18" s="425">
        <v>0</v>
      </c>
      <c r="L18" s="426">
        <v>0</v>
      </c>
      <c r="M18" s="423">
        <f>(D14/60)*0</f>
        <v>0</v>
      </c>
      <c r="N18" s="427">
        <f>IFERROR(J18*IF(AND(ISNUMBER(SEARCH(TEXT(C18,"ddd"),$G$11)),Data!$F$2),$G$14,$D$14)+K18*$G$14,"")</f>
        <v>265.86461538461538</v>
      </c>
      <c r="O18" s="141">
        <f t="shared" si="3"/>
        <v>265.86461538461538</v>
      </c>
      <c r="P18" s="89"/>
      <c r="Q18" s="89"/>
    </row>
    <row r="19" spans="2:34">
      <c r="B19" s="432"/>
      <c r="C19" s="429">
        <f t="shared" si="4"/>
        <v>46278</v>
      </c>
      <c r="D19" s="430">
        <f t="shared" si="4"/>
        <v>46278</v>
      </c>
      <c r="E19" s="424">
        <v>0</v>
      </c>
      <c r="F19" s="424">
        <v>0</v>
      </c>
      <c r="G19" s="424">
        <f t="shared" si="0"/>
        <v>0</v>
      </c>
      <c r="H19" s="424">
        <v>0</v>
      </c>
      <c r="I19" s="425">
        <v>0</v>
      </c>
      <c r="J19" s="425">
        <f t="shared" si="1"/>
        <v>0</v>
      </c>
      <c r="K19" s="425">
        <f t="shared" si="2"/>
        <v>0</v>
      </c>
      <c r="L19" s="97">
        <v>0</v>
      </c>
      <c r="M19" s="98">
        <f>(D14/60)*0</f>
        <v>0</v>
      </c>
      <c r="N19" s="427">
        <f>IFERROR(J19*IF(AND(ISNUMBER(SEARCH(TEXT(C19,"ddd"),$G$11)),Data!$F$2),$G$14,$D$14)+K19*$G$14,"")</f>
        <v>0</v>
      </c>
      <c r="O19" s="150"/>
      <c r="P19" s="104"/>
      <c r="Q19" s="104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</row>
    <row r="20" spans="2:34">
      <c r="B20" s="432">
        <v>3</v>
      </c>
      <c r="C20" s="429">
        <f t="shared" si="4"/>
        <v>46279</v>
      </c>
      <c r="D20" s="430">
        <f t="shared" si="4"/>
        <v>46279</v>
      </c>
      <c r="E20" s="424">
        <v>0.35694444444444445</v>
      </c>
      <c r="F20" s="424">
        <v>0</v>
      </c>
      <c r="G20" s="424">
        <f t="shared" ref="G20:G27" si="5">E20-F20</f>
        <v>0.35694444444444445</v>
      </c>
      <c r="H20" s="424">
        <v>0.75</v>
      </c>
      <c r="I20" s="425">
        <v>1</v>
      </c>
      <c r="J20" s="425">
        <f t="shared" si="1"/>
        <v>8.4333333333333336</v>
      </c>
      <c r="K20" s="425">
        <f t="shared" si="2"/>
        <v>0</v>
      </c>
      <c r="L20" s="426">
        <f>G20-B14</f>
        <v>2.3611111111111138E-2</v>
      </c>
      <c r="M20" s="423">
        <f>(D14/60)*0</f>
        <v>0</v>
      </c>
      <c r="N20" s="427">
        <f>IFERROR(J20*IF(AND(ISNUMBER(SEARCH(TEXT(C20,"ddd"),$G$11)),Data!$F$2),$G$14,$D$14)+K20*$G$14,"")</f>
        <v>747.37497435897433</v>
      </c>
      <c r="O20" s="150">
        <v>615.36</v>
      </c>
      <c r="P20" s="103"/>
      <c r="Q20" s="103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28"/>
    </row>
    <row r="21" spans="2:34">
      <c r="B21" s="432">
        <v>4</v>
      </c>
      <c r="C21" s="429">
        <f t="shared" si="4"/>
        <v>46280</v>
      </c>
      <c r="D21" s="430">
        <f t="shared" si="4"/>
        <v>46280</v>
      </c>
      <c r="E21" s="424">
        <v>0.33333333333333331</v>
      </c>
      <c r="F21" s="424">
        <v>0</v>
      </c>
      <c r="G21" s="424">
        <f t="shared" si="5"/>
        <v>0.33333333333333331</v>
      </c>
      <c r="H21" s="424">
        <v>0.75</v>
      </c>
      <c r="I21" s="425">
        <v>1</v>
      </c>
      <c r="J21" s="425">
        <f t="shared" si="1"/>
        <v>9</v>
      </c>
      <c r="K21" s="425">
        <f t="shared" si="2"/>
        <v>0</v>
      </c>
      <c r="L21" s="426">
        <v>0</v>
      </c>
      <c r="M21" s="423">
        <f>(D14/60)*0</f>
        <v>0</v>
      </c>
      <c r="N21" s="427">
        <f>IFERROR(J21*IF(AND(ISNUMBER(SEARCH(TEXT(C21,"ddd"),$G$11)),Data!$F$2),$G$14,$D$14)+K21*$G$14,"")</f>
        <v>797.59384615384602</v>
      </c>
      <c r="O21" s="141">
        <f t="shared" si="3"/>
        <v>797.59384615384602</v>
      </c>
      <c r="P21" s="108"/>
      <c r="Q21" s="108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4"/>
    </row>
    <row r="22" spans="2:34">
      <c r="B22" s="432">
        <v>5</v>
      </c>
      <c r="C22" s="429">
        <f t="shared" si="4"/>
        <v>46281</v>
      </c>
      <c r="D22" s="430">
        <f t="shared" si="4"/>
        <v>46281</v>
      </c>
      <c r="E22" s="424">
        <v>0.33333333333333331</v>
      </c>
      <c r="F22" s="424">
        <v>0</v>
      </c>
      <c r="G22" s="424">
        <f t="shared" ref="G22:G25" si="6">E22-F22</f>
        <v>0.33333333333333331</v>
      </c>
      <c r="H22" s="424">
        <v>0.75</v>
      </c>
      <c r="I22" s="425">
        <v>1</v>
      </c>
      <c r="J22" s="425">
        <f t="shared" si="1"/>
        <v>9</v>
      </c>
      <c r="K22" s="425">
        <f t="shared" si="2"/>
        <v>0</v>
      </c>
      <c r="L22" s="426">
        <v>0</v>
      </c>
      <c r="M22" s="423">
        <v>0</v>
      </c>
      <c r="N22" s="427">
        <f>IFERROR(J22*IF(AND(ISNUMBER(SEARCH(TEXT(C22,"ddd"),$G$11)),Data!$F$2),$G$14,$D$14)+K22*$G$14,"")</f>
        <v>797.59384615384602</v>
      </c>
      <c r="O22" s="141">
        <f t="shared" si="3"/>
        <v>797.59384615384602</v>
      </c>
      <c r="P22" s="156"/>
      <c r="Q22" s="156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4"/>
    </row>
    <row r="23" spans="2:34">
      <c r="B23" s="432">
        <v>6</v>
      </c>
      <c r="C23" s="429">
        <f t="shared" si="4"/>
        <v>46282</v>
      </c>
      <c r="D23" s="430">
        <f t="shared" si="4"/>
        <v>46282</v>
      </c>
      <c r="E23" s="424">
        <v>0.33333333333333331</v>
      </c>
      <c r="F23" s="424">
        <v>0</v>
      </c>
      <c r="G23" s="424">
        <f t="shared" si="6"/>
        <v>0.33333333333333331</v>
      </c>
      <c r="H23" s="424">
        <v>0.75</v>
      </c>
      <c r="I23" s="425">
        <v>1</v>
      </c>
      <c r="J23" s="425">
        <f t="shared" si="1"/>
        <v>9</v>
      </c>
      <c r="K23" s="425">
        <f t="shared" si="2"/>
        <v>0</v>
      </c>
      <c r="L23" s="426">
        <f>G23-B14</f>
        <v>0</v>
      </c>
      <c r="M23" s="423">
        <f>(D14/60)*0</f>
        <v>0</v>
      </c>
      <c r="N23" s="427">
        <f>IFERROR(J23*IF(AND(ISNUMBER(SEARCH(TEXT(C23,"ddd"),$G$11)),Data!$F$2),$G$14,$D$14)+K23*$G$14,"")</f>
        <v>797.59384615384602</v>
      </c>
      <c r="O23" s="141">
        <f t="shared" si="3"/>
        <v>797.59384615384602</v>
      </c>
      <c r="P23" s="150"/>
      <c r="Q23" s="89"/>
    </row>
    <row r="24" spans="2:34">
      <c r="B24" s="432">
        <v>7</v>
      </c>
      <c r="C24" s="429">
        <f t="shared" si="4"/>
        <v>46283</v>
      </c>
      <c r="D24" s="430">
        <f t="shared" si="4"/>
        <v>46283</v>
      </c>
      <c r="E24" s="424">
        <v>0.33333333333333331</v>
      </c>
      <c r="F24" s="424">
        <v>0</v>
      </c>
      <c r="G24" s="424">
        <f t="shared" si="6"/>
        <v>0.33333333333333331</v>
      </c>
      <c r="H24" s="424">
        <v>0.75</v>
      </c>
      <c r="I24" s="425">
        <v>1</v>
      </c>
      <c r="J24" s="425">
        <f t="shared" si="1"/>
        <v>9</v>
      </c>
      <c r="K24" s="425">
        <f t="shared" si="2"/>
        <v>0</v>
      </c>
      <c r="L24" s="426">
        <v>0</v>
      </c>
      <c r="M24" s="423">
        <f>(D14/60)*0</f>
        <v>0</v>
      </c>
      <c r="N24" s="427">
        <f>IFERROR(J24*IF(AND(ISNUMBER(SEARCH(TEXT(C24,"ddd"),$G$11)),Data!$F$2),$G$14,$D$14)+K24*$G$14,"")</f>
        <v>797.59384615384602</v>
      </c>
      <c r="O24" s="141">
        <f t="shared" si="3"/>
        <v>797.59384615384602</v>
      </c>
      <c r="P24" s="89"/>
      <c r="Q24" s="89"/>
    </row>
    <row r="25" spans="2:34">
      <c r="B25" s="432">
        <v>8</v>
      </c>
      <c r="C25" s="429">
        <f t="shared" si="4"/>
        <v>46284</v>
      </c>
      <c r="D25" s="430">
        <f t="shared" si="4"/>
        <v>46284</v>
      </c>
      <c r="E25" s="424">
        <v>0.375</v>
      </c>
      <c r="F25" s="424">
        <v>0</v>
      </c>
      <c r="G25" s="424">
        <f t="shared" si="6"/>
        <v>0.375</v>
      </c>
      <c r="H25" s="424">
        <v>0.5</v>
      </c>
      <c r="I25" s="425">
        <v>0</v>
      </c>
      <c r="J25" s="425">
        <f t="shared" si="1"/>
        <v>3</v>
      </c>
      <c r="K25" s="425">
        <v>0</v>
      </c>
      <c r="L25" s="426">
        <v>0</v>
      </c>
      <c r="M25" s="423">
        <f>(D14/60)*0</f>
        <v>0</v>
      </c>
      <c r="N25" s="427">
        <f>IFERROR(J25*IF(AND(ISNUMBER(SEARCH(TEXT(C25,"ddd"),$G$11)),Data!$F$2),$G$14,$D$14)+K25*$G$14,"")</f>
        <v>265.86461538461538</v>
      </c>
      <c r="O25" s="141">
        <f t="shared" si="3"/>
        <v>265.86461538461538</v>
      </c>
      <c r="P25" s="89"/>
      <c r="Q25" s="89"/>
    </row>
    <row r="26" spans="2:34">
      <c r="B26" s="432"/>
      <c r="C26" s="429">
        <f t="shared" si="4"/>
        <v>46285</v>
      </c>
      <c r="D26" s="430">
        <f t="shared" si="4"/>
        <v>46285</v>
      </c>
      <c r="E26" s="424">
        <v>0</v>
      </c>
      <c r="F26" s="424">
        <v>0</v>
      </c>
      <c r="G26" s="424">
        <f t="shared" si="5"/>
        <v>0</v>
      </c>
      <c r="H26" s="424">
        <v>0</v>
      </c>
      <c r="I26" s="425">
        <v>0</v>
      </c>
      <c r="J26" s="425">
        <f t="shared" si="1"/>
        <v>0</v>
      </c>
      <c r="K26" s="425">
        <f t="shared" si="2"/>
        <v>0</v>
      </c>
      <c r="L26" s="97">
        <v>0</v>
      </c>
      <c r="M26" s="98">
        <f>(D14/60)*0</f>
        <v>0</v>
      </c>
      <c r="N26" s="427">
        <f>IFERROR(J26*IF(AND(ISNUMBER(SEARCH(TEXT(C26,"ddd"),$G$11)),Data!$F$2),$G$14,$D$14)+K26*$G$14,"")</f>
        <v>0</v>
      </c>
      <c r="O26" s="141">
        <f t="shared" si="3"/>
        <v>0</v>
      </c>
      <c r="P26" s="89"/>
      <c r="Q26" s="89"/>
    </row>
    <row r="27" spans="2:34">
      <c r="B27" s="432">
        <v>9</v>
      </c>
      <c r="C27" s="429">
        <f t="shared" si="4"/>
        <v>46286</v>
      </c>
      <c r="D27" s="430">
        <f t="shared" si="4"/>
        <v>46286</v>
      </c>
      <c r="E27" s="424">
        <v>0.34583333333333333</v>
      </c>
      <c r="F27" s="424">
        <v>0</v>
      </c>
      <c r="G27" s="424">
        <f t="shared" si="5"/>
        <v>0.34583333333333333</v>
      </c>
      <c r="H27" s="424">
        <v>0.75</v>
      </c>
      <c r="I27" s="425">
        <v>1</v>
      </c>
      <c r="J27" s="425">
        <f t="shared" si="1"/>
        <v>8.6999999999999993</v>
      </c>
      <c r="K27" s="425">
        <v>0</v>
      </c>
      <c r="L27" s="426">
        <f>E27-B14</f>
        <v>1.2500000000000011E-2</v>
      </c>
      <c r="M27" s="423">
        <f>(D14/60)*0</f>
        <v>0</v>
      </c>
      <c r="N27" s="427">
        <f>IFERROR(J27*IF(AND(ISNUMBER(SEARCH(TEXT(C27,"ddd"),$G$11)),Data!$F$2),$G$14,$D$14)+K27*$G$14,"")</f>
        <v>771.00738461538447</v>
      </c>
      <c r="O27" s="141">
        <f t="shared" si="3"/>
        <v>771.00738461538447</v>
      </c>
    </row>
    <row r="28" spans="2:34">
      <c r="B28" s="432">
        <v>10</v>
      </c>
      <c r="C28" s="429">
        <f t="shared" si="4"/>
        <v>46287</v>
      </c>
      <c r="D28" s="430">
        <f t="shared" si="4"/>
        <v>46287</v>
      </c>
      <c r="E28" s="424">
        <v>0.33333333333333331</v>
      </c>
      <c r="F28" s="424">
        <v>0</v>
      </c>
      <c r="G28" s="424">
        <f t="shared" ref="G28" si="7">E28-F28</f>
        <v>0.33333333333333331</v>
      </c>
      <c r="H28" s="424">
        <v>0.75</v>
      </c>
      <c r="I28" s="425">
        <v>1</v>
      </c>
      <c r="J28" s="425">
        <f t="shared" si="1"/>
        <v>9</v>
      </c>
      <c r="K28" s="425">
        <f t="shared" si="2"/>
        <v>0</v>
      </c>
      <c r="L28" s="426">
        <v>0</v>
      </c>
      <c r="M28" s="423">
        <f>(D14/60)*0</f>
        <v>0</v>
      </c>
      <c r="N28" s="427">
        <f>IFERROR(J28*IF(AND(ISNUMBER(SEARCH(TEXT(C28,"ddd"),$G$11)),Data!$F$2),$G$14,$D$14)+K28*$G$14,"")</f>
        <v>797.59384615384602</v>
      </c>
      <c r="O28" s="141">
        <f t="shared" si="3"/>
        <v>797.59384615384602</v>
      </c>
    </row>
    <row r="29" spans="2:34">
      <c r="B29" s="432">
        <v>11</v>
      </c>
      <c r="C29" s="429">
        <f t="shared" si="4"/>
        <v>46288</v>
      </c>
      <c r="D29" s="430">
        <f t="shared" si="4"/>
        <v>46288</v>
      </c>
      <c r="E29" s="424">
        <v>0.33333333333333331</v>
      </c>
      <c r="F29" s="424">
        <v>0</v>
      </c>
      <c r="G29" s="424">
        <f t="shared" ref="G29:G30" si="8">E29-F29</f>
        <v>0.33333333333333331</v>
      </c>
      <c r="H29" s="424">
        <v>0.75</v>
      </c>
      <c r="I29" s="425">
        <v>1</v>
      </c>
      <c r="J29" s="425">
        <f>IFERROR(IF(AND(G29&lt;&gt;"",H29&lt;&gt;""),IF(G29&gt;$B$14+TIME($C$14,($C$14-INT($C$14))*60,0),0,IF(H29&gt;$B$14+TIME($C$14,($C$14-INT($C$14))*60,0),MIN(TIME($C$14,($C$14-INT($C$14))*60,0),($B$14+TIME($C$14,($C$14-INT($C$14))*60,0)-G29)),MIN(IF((H29-$B$14)&lt;0,0,(H29-$B$14)),(H29-G29))))*24,"")-I29,"")</f>
        <v>9</v>
      </c>
      <c r="K29" s="425">
        <f t="shared" si="2"/>
        <v>0</v>
      </c>
      <c r="L29" s="426">
        <v>0</v>
      </c>
      <c r="M29" s="423">
        <f>(D14/60)*0</f>
        <v>0</v>
      </c>
      <c r="N29" s="427">
        <f>IFERROR(J29*IF(AND(ISNUMBER(SEARCH(TEXT(C29,"ddd"),$G$11)),Data!$F$2),$G$14,$D$14)+K29*$G$14,"")</f>
        <v>797.59384615384602</v>
      </c>
      <c r="O29" s="141">
        <f t="shared" si="3"/>
        <v>797.59384615384602</v>
      </c>
    </row>
    <row r="30" spans="2:34">
      <c r="B30" s="432">
        <v>12</v>
      </c>
      <c r="C30" s="429">
        <f t="shared" si="4"/>
        <v>46289</v>
      </c>
      <c r="D30" s="430">
        <f t="shared" si="4"/>
        <v>46289</v>
      </c>
      <c r="E30" s="424">
        <v>0.33333333333333331</v>
      </c>
      <c r="F30" s="424">
        <v>0</v>
      </c>
      <c r="G30" s="424">
        <f t="shared" si="8"/>
        <v>0.33333333333333331</v>
      </c>
      <c r="H30" s="424">
        <v>0.75</v>
      </c>
      <c r="I30" s="425">
        <v>1</v>
      </c>
      <c r="J30" s="425">
        <f t="shared" ref="J30" si="9">IFERROR(IF(AND(G30&lt;&gt;"",H30&lt;&gt;""),IF(G30&gt;$B$14+TIME($C$14,($C$14-INT($C$14))*60,0),0,IF(H30&gt;$B$14+TIME($C$14,($C$14-INT($C$14))*60,0),MIN(TIME($C$14,($C$14-INT($C$14))*60,0),($B$14+TIME($C$14,($C$14-INT($C$14))*60,0)-G30)),MIN(IF((H30-$B$14)&lt;0,0,(H30-$B$14)),(H30-G30))))*24,"")-I30,"")</f>
        <v>9</v>
      </c>
      <c r="K30" s="425">
        <f t="shared" ref="K30" si="10">IF(AND(G30&lt;&gt;"",H30&lt;&gt;""),((IF(G30&lt;$B$14,MIN($B$14-G30,H30-G30),0)+IF(H30&gt;$B$14+TIME($C$14,($C$14-INT($C$14))*60,0),MIN((H30-$B$14-TIME($C$14,($C$14-INT($C$14))*60,0)),(H30-G30)),0))*24),"")</f>
        <v>0</v>
      </c>
      <c r="L30" s="426">
        <f>G30-B14</f>
        <v>0</v>
      </c>
      <c r="M30" s="423">
        <f>(D14/60)*0</f>
        <v>0</v>
      </c>
      <c r="N30" s="427">
        <f>IFERROR(J30*IF(AND(ISNUMBER(SEARCH(TEXT(C30,"ddd"),$G$11)),Data!$F$2),$G$14,$D$14)+K30*$G$14,"")</f>
        <v>797.59384615384602</v>
      </c>
      <c r="O30" s="141">
        <f t="shared" si="3"/>
        <v>797.59384615384602</v>
      </c>
    </row>
    <row r="31" spans="2:34">
      <c r="B31" s="432">
        <v>13</v>
      </c>
      <c r="C31" s="429">
        <f t="shared" si="4"/>
        <v>46290</v>
      </c>
      <c r="D31" s="430">
        <f t="shared" si="4"/>
        <v>46290</v>
      </c>
      <c r="E31" s="424">
        <v>0.33333333333333331</v>
      </c>
      <c r="F31" s="424">
        <v>0</v>
      </c>
      <c r="G31" s="424">
        <f>E31-F31</f>
        <v>0.33333333333333331</v>
      </c>
      <c r="H31" s="424">
        <v>0.75</v>
      </c>
      <c r="I31" s="425">
        <v>1</v>
      </c>
      <c r="J31" s="425">
        <f t="shared" ref="J31" si="11">IFERROR(IF(AND(G31&lt;&gt;"",H31&lt;&gt;""),IF(G31&gt;$B$14+TIME($C$14,($C$14-INT($C$14))*60,0),0,IF(H31&gt;$B$14+TIME($C$14,($C$14-INT($C$14))*60,0),MIN(TIME($C$14,($C$14-INT($C$14))*60,0),($B$14+TIME($C$14,($C$14-INT($C$14))*60,0)-G31)),MIN(IF((H31-$B$14)&lt;0,0,(H31-$B$14)),(H31-G31))))*24,"")-I31,"")</f>
        <v>9</v>
      </c>
      <c r="K31" s="425">
        <v>0</v>
      </c>
      <c r="L31" s="426">
        <v>0</v>
      </c>
      <c r="M31" s="423">
        <f>(D14/60)*0</f>
        <v>0</v>
      </c>
      <c r="N31" s="427">
        <f>IFERROR(J31*IF(AND(ISNUMBER(SEARCH(TEXT(C31,"ddd"),$G$11)),Data!$F$2),$G$14,$D$14)+K31*$G$14,"")</f>
        <v>797.59384615384602</v>
      </c>
      <c r="O31" s="141">
        <f t="shared" si="3"/>
        <v>797.59384615384602</v>
      </c>
    </row>
    <row r="32" spans="2:34">
      <c r="B32" s="441"/>
      <c r="C32" s="442"/>
      <c r="D32" s="443"/>
      <c r="E32" s="444"/>
      <c r="F32" s="444"/>
      <c r="G32" s="593" t="s">
        <v>182</v>
      </c>
      <c r="H32" s="594"/>
      <c r="I32" s="445">
        <f>SUM(I17:I31)</f>
        <v>11</v>
      </c>
      <c r="J32" s="445">
        <f>SUM(J17:J31)</f>
        <v>104.13333333333334</v>
      </c>
      <c r="K32" s="445">
        <f>SUM(K17:K31)</f>
        <v>0</v>
      </c>
      <c r="L32" s="445">
        <f>SUM(L17:L31)</f>
        <v>3.6111111111111149E-2</v>
      </c>
      <c r="M32" s="445">
        <f>SUM(M17:M31)</f>
        <v>0</v>
      </c>
      <c r="N32" s="442"/>
    </row>
    <row r="33" spans="2:16">
      <c r="B33" s="441"/>
      <c r="C33" s="442"/>
      <c r="D33" s="443"/>
      <c r="E33" s="444"/>
      <c r="F33" s="444"/>
      <c r="G33" s="459" t="s">
        <v>39</v>
      </c>
      <c r="H33" s="460"/>
      <c r="I33" s="461"/>
      <c r="J33" s="462"/>
      <c r="K33" s="463"/>
      <c r="L33" s="423">
        <f>(D14/60)*0</f>
        <v>0</v>
      </c>
      <c r="M33" s="465"/>
      <c r="N33" s="472">
        <f>(H14*D14)-N37</f>
        <v>9216.64</v>
      </c>
      <c r="O33" s="151">
        <f>SUM(O17:O31)</f>
        <v>9096.441230769231</v>
      </c>
      <c r="P33" s="157">
        <f>N33-O33</f>
        <v>120.19876923076845</v>
      </c>
    </row>
    <row r="34" spans="2:16">
      <c r="B34" s="65"/>
      <c r="C34" s="65"/>
      <c r="D34" s="85"/>
      <c r="E34" s="85"/>
      <c r="F34" s="85"/>
      <c r="G34" s="592" t="s">
        <v>183</v>
      </c>
      <c r="H34" s="592"/>
      <c r="I34" s="80"/>
      <c r="J34" s="80">
        <f>H14-J32</f>
        <v>-0.13333333333333997</v>
      </c>
      <c r="K34" s="65"/>
      <c r="L34" s="120"/>
      <c r="M34" s="65"/>
      <c r="N34" s="121">
        <f>M32</f>
        <v>0</v>
      </c>
      <c r="O34" s="151">
        <f>N37</f>
        <v>0</v>
      </c>
    </row>
    <row r="35" spans="2:16">
      <c r="B35" s="65"/>
      <c r="C35" s="65"/>
      <c r="D35" s="85"/>
      <c r="E35" s="145"/>
      <c r="F35" s="145"/>
      <c r="G35" s="78" t="s">
        <v>41</v>
      </c>
      <c r="H35" s="79"/>
      <c r="I35" s="66"/>
      <c r="J35" s="66"/>
      <c r="K35" s="80"/>
      <c r="L35" s="80"/>
      <c r="M35" s="80"/>
      <c r="N35" s="121">
        <f>N33-N34</f>
        <v>9216.64</v>
      </c>
      <c r="O35" s="95">
        <f>M32</f>
        <v>0</v>
      </c>
    </row>
    <row r="36" spans="2:16">
      <c r="B36" s="65"/>
      <c r="C36" s="65"/>
      <c r="D36" s="85"/>
      <c r="E36" s="146"/>
      <c r="F36" s="146"/>
      <c r="G36" s="595" t="s">
        <v>202</v>
      </c>
      <c r="H36" s="596"/>
      <c r="I36" s="80"/>
      <c r="J36" s="401">
        <v>0</v>
      </c>
      <c r="K36" s="122"/>
      <c r="L36" s="122"/>
      <c r="M36" s="122"/>
      <c r="N36" s="123">
        <f>G14*K32</f>
        <v>0</v>
      </c>
      <c r="O36" s="95">
        <f>O33-O34-O35</f>
        <v>9096.441230769231</v>
      </c>
    </row>
    <row r="37" spans="2:16">
      <c r="B37" s="65"/>
      <c r="C37" s="65"/>
      <c r="D37" s="85"/>
      <c r="E37" s="146"/>
      <c r="F37" s="146"/>
      <c r="G37" s="86" t="s">
        <v>203</v>
      </c>
      <c r="H37" s="87"/>
      <c r="I37" s="80"/>
      <c r="J37" s="66"/>
      <c r="K37" s="122"/>
      <c r="L37" s="122"/>
      <c r="M37" s="122"/>
      <c r="N37" s="123">
        <v>0</v>
      </c>
      <c r="O37" s="95">
        <f>N37</f>
        <v>0</v>
      </c>
    </row>
    <row r="38" spans="2:16">
      <c r="B38" s="65"/>
      <c r="C38" s="65"/>
      <c r="D38" s="85"/>
      <c r="E38" s="145"/>
      <c r="F38" s="145"/>
      <c r="G38" s="597" t="s">
        <v>186</v>
      </c>
      <c r="H38" s="598"/>
      <c r="I38" s="66"/>
      <c r="J38" s="66"/>
      <c r="K38" s="66"/>
      <c r="L38" s="66"/>
      <c r="M38" s="66"/>
      <c r="N38" s="124">
        <f>N35+N36+N37</f>
        <v>9216.64</v>
      </c>
      <c r="O38" s="95">
        <f>O36+O37</f>
        <v>9096.441230769231</v>
      </c>
    </row>
    <row r="39" spans="2:16">
      <c r="D39" s="88"/>
      <c r="E39" s="88"/>
      <c r="F39" s="88"/>
      <c r="G39" s="589"/>
      <c r="H39" s="589"/>
      <c r="I39" s="90"/>
      <c r="J39" s="90"/>
      <c r="K39" s="125"/>
      <c r="L39" s="125"/>
      <c r="M39" s="125"/>
      <c r="N39" s="126"/>
      <c r="O39" s="127"/>
    </row>
    <row r="40" spans="2:16">
      <c r="D40" s="91"/>
      <c r="E40" s="91"/>
      <c r="F40" s="91"/>
    </row>
    <row r="41" spans="2:16">
      <c r="B41" s="590" t="s">
        <v>187</v>
      </c>
      <c r="C41" s="590"/>
      <c r="D41" s="590"/>
      <c r="E41" s="590"/>
      <c r="F41" s="590"/>
      <c r="G41" s="590"/>
      <c r="H41" s="590"/>
      <c r="I41" s="590"/>
      <c r="J41" s="590"/>
      <c r="K41" s="590"/>
      <c r="L41" s="590"/>
      <c r="M41" s="590"/>
      <c r="N41" s="590"/>
    </row>
    <row r="42" spans="2:16">
      <c r="D42" s="91"/>
      <c r="E42" s="91"/>
      <c r="F42" s="91"/>
    </row>
    <row r="43" spans="2:16">
      <c r="D43" s="91" t="s">
        <v>188</v>
      </c>
      <c r="E43" s="91"/>
      <c r="F43" s="91"/>
      <c r="N43" s="95"/>
    </row>
    <row r="44" spans="2:16">
      <c r="D44" s="54" t="s">
        <v>10</v>
      </c>
      <c r="E44" s="54"/>
      <c r="F44" s="54"/>
      <c r="G44" s="54" t="s">
        <v>11</v>
      </c>
      <c r="H44" s="54" t="s">
        <v>12</v>
      </c>
      <c r="I44" s="55" t="s">
        <v>13</v>
      </c>
    </row>
    <row r="45" spans="2:16">
      <c r="D45" s="56">
        <v>2026</v>
      </c>
      <c r="E45" s="56"/>
      <c r="F45" s="56"/>
      <c r="G45" s="56" t="s">
        <v>204</v>
      </c>
      <c r="H45" s="56">
        <v>12</v>
      </c>
      <c r="I45" s="56" t="s">
        <v>15</v>
      </c>
    </row>
    <row r="46" spans="2:16">
      <c r="D46" s="57"/>
      <c r="E46" s="57"/>
      <c r="F46" s="57"/>
      <c r="G46" s="57"/>
    </row>
    <row r="47" spans="2:16" ht="33.75">
      <c r="D47" s="58" t="s">
        <v>16</v>
      </c>
      <c r="E47" s="58"/>
      <c r="F47" s="58"/>
      <c r="G47" s="58" t="s">
        <v>17</v>
      </c>
      <c r="H47" s="58" t="s">
        <v>18</v>
      </c>
      <c r="I47" s="58" t="s">
        <v>19</v>
      </c>
    </row>
    <row r="48" spans="2:16">
      <c r="D48" s="61">
        <v>0.33333333333333298</v>
      </c>
      <c r="E48" s="61"/>
      <c r="F48" s="61"/>
      <c r="G48" s="62">
        <v>10</v>
      </c>
      <c r="H48" s="63">
        <f>D14</f>
        <v>88.621538461538449</v>
      </c>
      <c r="I48" s="130">
        <f>(H48*30%)+H48</f>
        <v>115.20799999999998</v>
      </c>
    </row>
    <row r="50" spans="3:14">
      <c r="C50" s="131" t="s">
        <v>20</v>
      </c>
      <c r="D50" s="131" t="s">
        <v>12</v>
      </c>
      <c r="E50" s="131"/>
      <c r="F50" s="131"/>
      <c r="G50" s="131" t="s">
        <v>21</v>
      </c>
      <c r="H50" s="131" t="s">
        <v>22</v>
      </c>
      <c r="I50" s="131" t="s">
        <v>23</v>
      </c>
      <c r="J50" s="131" t="s">
        <v>24</v>
      </c>
      <c r="K50" s="131" t="s">
        <v>25</v>
      </c>
      <c r="L50" s="131"/>
      <c r="M50" s="131"/>
      <c r="N50" s="131" t="s">
        <v>26</v>
      </c>
    </row>
    <row r="51" spans="3:14">
      <c r="C51" s="70" t="s">
        <v>353</v>
      </c>
      <c r="D51" s="71">
        <f>DATE($B$11,MATCH($G$45,Data!$B$2:$B$13,0),PATRICIO!$H$45)</f>
        <v>46185</v>
      </c>
      <c r="E51" s="71"/>
      <c r="F51" s="71"/>
      <c r="G51" s="72">
        <v>0.33333333333333331</v>
      </c>
      <c r="H51" s="72">
        <v>0.75</v>
      </c>
      <c r="I51" s="73">
        <v>1</v>
      </c>
      <c r="J51" s="73">
        <f>IFERROR(IF(AND(G51&lt;&gt;"",H51&lt;&gt;""),IF(G51&gt;$B$14+TIME($C$14,($C$14-INT($C$14))*60,0),0,IF(H51&gt;$B$14+TIME($C$14,($C$14-INT($C$14))*60,0),MIN(TIME($C$14,($C$14-INT($C$14))*60,0),($B$14+TIME($C$14,($C$14-INT($C$14))*60,0)-G51)),MIN(IF((H51-$B$14)&lt;0,0,(H51-$B$14)),(H51-G51))))*24,"")-I51,"")</f>
        <v>9</v>
      </c>
      <c r="K51" s="73">
        <f>IF(AND(G51&lt;&gt;"",H51&lt;&gt;""),((IF(G51&lt;$D$48,MIN($D$48-G51,H51-G51),0)+IF(H51&gt;$D$48+TIME($G$48,($G$48-INT($G$48))*60,0),MIN((H51-$D$48-TIME($G$48,($G$48-INT($G$48))*60,0)),(H51-G51)),0))*24),"")</f>
        <v>0</v>
      </c>
      <c r="L51" s="73"/>
      <c r="M51" s="73"/>
      <c r="N51" s="99">
        <f>(J51*H48)</f>
        <v>797.59384615384602</v>
      </c>
    </row>
    <row r="52" spans="3:14">
      <c r="C52" s="70" t="s">
        <v>445</v>
      </c>
      <c r="D52" s="71">
        <v>23</v>
      </c>
      <c r="E52" s="71"/>
      <c r="F52" s="71"/>
      <c r="G52" s="72">
        <v>0</v>
      </c>
      <c r="H52" s="72">
        <v>0</v>
      </c>
      <c r="I52" s="73">
        <v>0</v>
      </c>
      <c r="J52" s="73">
        <f>IFERROR(IF(AND(G52&lt;&gt;"",H52&lt;&gt;""),IF(G52&gt;$B$14+TIME($C$14,($C$14-INT($C$14))*60,0),0,IF(H52&gt;$B$14+TIME($C$14,($C$14-INT($C$14))*60,0),MIN(TIME($C$14,($C$14-INT($C$14))*60,0),($B$14+TIME($C$14,($C$14-INT($C$14))*60,0)-G52)),MIN(IF((H52-$B$14)&lt;0,0,(H52-$B$14)),(H52-G52))))*24,"")-I52,"")</f>
        <v>0</v>
      </c>
      <c r="K52" s="73">
        <f>IF(AND(G52&lt;&gt;"",H52&lt;&gt;""),((IF(G52&lt;$D$48,MIN($D$48-G52,H52-G52),0)+IF(H52&gt;$D$48+TIME($G$48,($G$48-INT($G$48))*60,0),MIN((H52-$D$48-TIME($G$48,($G$48-INT($G$48))*60,0)),(H52-G52)),0))*24),"")</f>
        <v>0</v>
      </c>
      <c r="L52" s="73"/>
      <c r="M52" s="73"/>
      <c r="N52" s="99">
        <f>(J52*H48)</f>
        <v>0</v>
      </c>
    </row>
    <row r="53" spans="3:14"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318">
        <f>SUM(N51:N52)</f>
        <v>797.59384615384602</v>
      </c>
    </row>
    <row r="54" spans="3:14">
      <c r="N54" s="138"/>
    </row>
    <row r="55" spans="3:14">
      <c r="N55" s="138"/>
    </row>
    <row r="56" spans="3:14">
      <c r="D56" s="132" t="s">
        <v>190</v>
      </c>
      <c r="E56" s="132"/>
      <c r="F56" s="132"/>
      <c r="G56" s="133"/>
      <c r="H56" s="133"/>
      <c r="I56" s="133"/>
    </row>
    <row r="57" spans="3:14">
      <c r="D57" s="132"/>
      <c r="E57" s="132"/>
      <c r="F57" s="132"/>
      <c r="G57" s="133"/>
      <c r="H57" s="133"/>
      <c r="I57" s="133"/>
    </row>
    <row r="58" spans="3:14">
      <c r="D58" s="132"/>
      <c r="E58" s="132"/>
      <c r="F58" s="132"/>
      <c r="G58" s="133"/>
      <c r="H58" s="133"/>
      <c r="I58" s="133"/>
    </row>
    <row r="59" spans="3:14">
      <c r="D59" s="591">
        <v>44981</v>
      </c>
      <c r="E59" s="591"/>
      <c r="F59" s="591"/>
      <c r="G59" s="88">
        <v>0</v>
      </c>
      <c r="H59" s="148" t="s">
        <v>280</v>
      </c>
      <c r="I59" s="254"/>
      <c r="J59" s="90"/>
      <c r="K59" s="90"/>
      <c r="L59" s="125"/>
    </row>
    <row r="60" spans="3:14">
      <c r="E60" s="88"/>
      <c r="F60" s="88"/>
      <c r="G60" s="88">
        <f>G59*H60</f>
        <v>0</v>
      </c>
      <c r="H60" s="253">
        <v>0.3</v>
      </c>
      <c r="I60" s="254"/>
      <c r="J60" s="90"/>
      <c r="K60" s="90"/>
      <c r="L60" s="125"/>
    </row>
    <row r="61" spans="3:14">
      <c r="E61" s="91"/>
      <c r="F61" s="91"/>
      <c r="G61" s="91"/>
    </row>
    <row r="62" spans="3:14">
      <c r="E62" s="91"/>
      <c r="F62" s="91"/>
      <c r="G62" s="91"/>
      <c r="H62" s="91">
        <f>G60</f>
        <v>0</v>
      </c>
    </row>
    <row r="63" spans="3:14">
      <c r="E63" s="91"/>
      <c r="F63" s="91"/>
      <c r="G63" s="91"/>
    </row>
    <row r="72" spans="3:3">
      <c r="C72" s="91" t="s">
        <v>141</v>
      </c>
    </row>
    <row r="73" spans="3:3">
      <c r="C73" t="s">
        <v>66</v>
      </c>
    </row>
    <row r="74" spans="3:3">
      <c r="C74" s="91"/>
    </row>
  </sheetData>
  <mergeCells count="11">
    <mergeCell ref="G36:H36"/>
    <mergeCell ref="G38:H38"/>
    <mergeCell ref="G39:H39"/>
    <mergeCell ref="B41:N41"/>
    <mergeCell ref="D59:F59"/>
    <mergeCell ref="G34:H34"/>
    <mergeCell ref="C7:D7"/>
    <mergeCell ref="L7:N7"/>
    <mergeCell ref="C8:D8"/>
    <mergeCell ref="L8:N8"/>
    <mergeCell ref="G32:H32"/>
  </mergeCells>
  <conditionalFormatting sqref="C17:K31">
    <cfRule type="expression" dxfId="280" priority="1">
      <formula>ISNUMBER(SEARCH(TEXT($C17,"ddd"),$G$11))</formula>
    </cfRule>
  </conditionalFormatting>
  <conditionalFormatting sqref="C51:N52">
    <cfRule type="expression" dxfId="279" priority="24">
      <formula>ISNUMBER(SEARCH(TEXT($C51,"ddd"),$G$11))</formula>
    </cfRule>
  </conditionalFormatting>
  <conditionalFormatting sqref="N17:N31">
    <cfRule type="expression" dxfId="278" priority="154">
      <formula>ISNUMBER(SEARCH(TEXT($C17,"ddd"),$G$11))</formula>
    </cfRule>
  </conditionalFormatting>
  <dataValidations count="3">
    <dataValidation type="custom" allowBlank="1" showInputMessage="1" showErrorMessage="1" sqref="H51:H52 H17:H31" xr:uid="{00000000-0002-0000-0E00-000000000000}">
      <formula1>AND($H17&lt;=1,ISNUMBER($H17),($H17&gt;=$G17))</formula1>
    </dataValidation>
    <dataValidation type="list" allowBlank="1" showInputMessage="1" showErrorMessage="1" sqref="H45 D11:F11" xr:uid="{00000000-0002-0000-0E00-000001000000}">
      <formula1>DateCalc</formula1>
    </dataValidation>
    <dataValidation type="custom" allowBlank="1" showInputMessage="1" showErrorMessage="1" sqref="G51:G52 E17:G31" xr:uid="{00000000-0002-0000-0E00-000002000000}">
      <formula1>AND($G17&lt;=1,ISNUMBER($G17))</formula1>
    </dataValidation>
  </dataValidations>
  <pageMargins left="0.81458333333333299" right="0.25" top="0.45486111111111099" bottom="0.36944444444444402" header="0.29861111111111099" footer="0.29861111111111099"/>
  <pageSetup paperSize="9" scale="91" orientation="landscape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44065" r:id="rId4" name="Check Box 1">
              <controlPr defaultSize="0" print="0" autoPict="0">
                <anchor moveWithCells="1">
                  <from>
                    <xdr:col>7</xdr:col>
                    <xdr:colOff>180975</xdr:colOff>
                    <xdr:row>9</xdr:row>
                    <xdr:rowOff>28575</xdr:rowOff>
                  </from>
                  <to>
                    <xdr:col>8</xdr:col>
                    <xdr:colOff>571500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E00-000003000000}">
          <x14:formula1>
            <xm:f>Data!$B$2:$B$13</xm:f>
          </x14:formula1>
          <xm:sqref>G45 C11</xm:sqref>
        </x14:dataValidation>
        <x14:dataValidation type="list" allowBlank="1" showInputMessage="1" showErrorMessage="1" xr:uid="{00000000-0002-0000-0E00-000004000000}">
          <x14:formula1>
            <xm:f>Data!$D$2:$D$16</xm:f>
          </x14:formula1>
          <xm:sqref>G11 I45</xm:sqref>
        </x14:dataValidation>
        <x14:dataValidation type="list" allowBlank="1" showInputMessage="1" showErrorMessage="1" xr:uid="{00000000-0002-0000-0E00-000005000000}">
          <x14:formula1>
            <xm:f>Data!$A$2:$A$12</xm:f>
          </x14:formula1>
          <xm:sqref>E45:F45</xm:sqref>
        </x14:dataValidation>
        <x14:dataValidation type="list" allowBlank="1" showInputMessage="1" showErrorMessage="1" xr:uid="{00000000-0002-0000-0E00-000006000000}">
          <x14:formula1>
            <xm:f>Data!$A$2:$A$15</xm:f>
          </x14:formula1>
          <xm:sqref>B11 D45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3:AH73"/>
  <sheetViews>
    <sheetView showGridLines="0" view="pageLayout" topLeftCell="A16" zoomScale="110" zoomScaleNormal="100" zoomScalePageLayoutView="110" workbookViewId="0">
      <selection activeCell="D40" sqref="D40"/>
    </sheetView>
  </sheetViews>
  <sheetFormatPr defaultColWidth="9" defaultRowHeight="12.75"/>
  <cols>
    <col min="1" max="1" width="1.625" customWidth="1"/>
    <col min="2" max="2" width="5.375" customWidth="1"/>
    <col min="3" max="3" width="7.125" customWidth="1"/>
    <col min="4" max="6" width="7.625" customWidth="1"/>
    <col min="7" max="7" width="10.125" customWidth="1"/>
    <col min="8" max="8" width="9.625" customWidth="1"/>
    <col min="9" max="9" width="8.125" customWidth="1"/>
    <col min="10" max="10" width="10.125" customWidth="1"/>
    <col min="11" max="11" width="7.875" customWidth="1"/>
    <col min="12" max="13" width="10.875" customWidth="1"/>
    <col min="14" max="14" width="12.5" customWidth="1"/>
    <col min="15" max="15" width="16.875" customWidth="1"/>
  </cols>
  <sheetData>
    <row r="3" spans="1:21" ht="25.5" customHeight="1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</row>
    <row r="4" spans="1:21" s="47" customFormat="1" ht="25.5" customHeight="1">
      <c r="A4" s="603"/>
      <c r="B4" s="603"/>
      <c r="C4" s="603"/>
      <c r="D4" s="603"/>
      <c r="E4" s="603"/>
      <c r="F4" s="603"/>
      <c r="G4" s="603"/>
      <c r="H4" s="603"/>
      <c r="I4" s="603"/>
      <c r="J4" s="603"/>
      <c r="K4" s="603"/>
      <c r="L4" s="603"/>
      <c r="M4" s="603"/>
      <c r="N4" s="603"/>
    </row>
    <row r="5" spans="1:21" ht="18.75" customHeight="1">
      <c r="C5" s="49"/>
      <c r="D5" s="49"/>
      <c r="E5" s="49"/>
      <c r="F5" s="49"/>
      <c r="G5" s="91"/>
      <c r="J5" s="49"/>
      <c r="L5" s="148"/>
      <c r="M5" s="148"/>
      <c r="N5" s="148"/>
    </row>
    <row r="6" spans="1:21" ht="18.75" customHeight="1">
      <c r="C6" s="527" t="s">
        <v>3</v>
      </c>
      <c r="D6" s="527"/>
      <c r="E6" s="49"/>
      <c r="F6" s="49"/>
      <c r="G6" s="50"/>
      <c r="H6" s="51"/>
      <c r="J6" s="49" t="s">
        <v>174</v>
      </c>
      <c r="L6" s="599" t="str">
        <f>PAALAN!L7</f>
        <v>September  11-25, 2026</v>
      </c>
      <c r="M6" s="599"/>
      <c r="N6" s="599"/>
    </row>
    <row r="7" spans="1:21" ht="18.75" customHeight="1">
      <c r="C7" s="527" t="s">
        <v>175</v>
      </c>
      <c r="D7" s="527"/>
      <c r="E7" s="49"/>
      <c r="F7" s="49"/>
      <c r="G7" s="50" t="s">
        <v>309</v>
      </c>
      <c r="H7" s="51"/>
      <c r="J7" s="49" t="s">
        <v>176</v>
      </c>
      <c r="L7" s="600" t="str">
        <f>PAALAN!L8</f>
        <v>9/31/2026</v>
      </c>
      <c r="M7" s="600"/>
      <c r="N7" s="600"/>
    </row>
    <row r="8" spans="1:21">
      <c r="C8" s="52"/>
      <c r="D8" s="53"/>
      <c r="E8" s="53"/>
      <c r="F8" s="53"/>
      <c r="G8" s="53"/>
    </row>
    <row r="9" spans="1:21">
      <c r="B9" s="54" t="s">
        <v>10</v>
      </c>
      <c r="C9" s="54" t="s">
        <v>11</v>
      </c>
      <c r="D9" s="54" t="s">
        <v>12</v>
      </c>
      <c r="E9" s="54"/>
      <c r="F9" s="54"/>
      <c r="G9" s="55" t="s">
        <v>13</v>
      </c>
    </row>
    <row r="10" spans="1:21">
      <c r="B10" s="56">
        <v>2026</v>
      </c>
      <c r="C10" s="56" t="s">
        <v>177</v>
      </c>
      <c r="D10" s="56">
        <v>11</v>
      </c>
      <c r="E10" s="56"/>
      <c r="F10" s="56"/>
      <c r="G10" s="56" t="s">
        <v>178</v>
      </c>
    </row>
    <row r="11" spans="1:21">
      <c r="B11" s="57"/>
      <c r="C11" s="57"/>
      <c r="H11" s="57"/>
      <c r="K11" s="57"/>
      <c r="L11" s="57"/>
      <c r="M11" s="57"/>
    </row>
    <row r="12" spans="1:21" ht="32.1" customHeight="1">
      <c r="B12" s="58" t="s">
        <v>16</v>
      </c>
      <c r="C12" s="58" t="s">
        <v>17</v>
      </c>
      <c r="D12" s="58" t="s">
        <v>18</v>
      </c>
      <c r="E12" s="59"/>
      <c r="F12" s="59"/>
      <c r="G12" s="59" t="s">
        <v>19</v>
      </c>
      <c r="H12" s="60" t="s">
        <v>179</v>
      </c>
      <c r="L12" s="93"/>
      <c r="M12" s="93"/>
      <c r="N12" s="94"/>
      <c r="O12" s="58" t="s">
        <v>16</v>
      </c>
      <c r="P12" s="58" t="s">
        <v>17</v>
      </c>
      <c r="Q12" s="58" t="s">
        <v>18</v>
      </c>
      <c r="R12" s="59"/>
      <c r="S12" s="59"/>
      <c r="T12" s="59" t="s">
        <v>19</v>
      </c>
      <c r="U12" s="60" t="s">
        <v>179</v>
      </c>
    </row>
    <row r="13" spans="1:21">
      <c r="B13" s="61">
        <v>0.33333333333333331</v>
      </c>
      <c r="C13" s="62">
        <v>10</v>
      </c>
      <c r="D13" s="63">
        <f>(20000/26)/8</f>
        <v>96.15384615384616</v>
      </c>
      <c r="E13" s="142"/>
      <c r="F13" s="142"/>
      <c r="G13" s="64">
        <f>(D13*25%)+D13</f>
        <v>120.19230769230771</v>
      </c>
      <c r="H13" s="65">
        <v>104</v>
      </c>
      <c r="L13" s="57"/>
      <c r="M13" s="57"/>
      <c r="N13" s="95"/>
      <c r="O13" s="61">
        <v>0.375</v>
      </c>
      <c r="P13" s="62">
        <v>3</v>
      </c>
      <c r="Q13" s="63">
        <f>(17433.28/26)/8</f>
        <v>83.813846153846143</v>
      </c>
      <c r="R13" s="142"/>
      <c r="S13" s="142"/>
      <c r="T13" s="64">
        <f>(Q13*25%)+Q13</f>
        <v>104.76730769230768</v>
      </c>
      <c r="U13" s="65">
        <v>105</v>
      </c>
    </row>
    <row r="14" spans="1:21">
      <c r="N14" s="96"/>
    </row>
    <row r="15" spans="1:21" ht="23.25">
      <c r="B15" s="66"/>
      <c r="C15" s="67" t="s">
        <v>20</v>
      </c>
      <c r="D15" s="67" t="s">
        <v>12</v>
      </c>
      <c r="E15" s="67"/>
      <c r="F15" s="67"/>
      <c r="G15" s="67" t="s">
        <v>21</v>
      </c>
      <c r="H15" s="67" t="s">
        <v>22</v>
      </c>
      <c r="I15" s="68" t="s">
        <v>23</v>
      </c>
      <c r="J15" s="68" t="s">
        <v>24</v>
      </c>
      <c r="K15" s="68" t="s">
        <v>25</v>
      </c>
      <c r="L15" s="67" t="s">
        <v>180</v>
      </c>
      <c r="M15" s="134" t="s">
        <v>181</v>
      </c>
      <c r="N15" s="67" t="s">
        <v>26</v>
      </c>
    </row>
    <row r="16" spans="1:21">
      <c r="B16" s="432">
        <v>1</v>
      </c>
      <c r="C16" s="429">
        <f>DATE($B$10,MATCH($C$10,Data!$B$2:$B$13,0),'Fixed Salary - Sample'!$D$10)</f>
        <v>46276</v>
      </c>
      <c r="D16" s="430">
        <f>DATE($B$10,MATCH($C$10,Data!$B$2:$B$13,0),'Fixed Salary - Sample'!$D$10)</f>
        <v>46276</v>
      </c>
      <c r="E16" s="424">
        <v>0.39930555555555558</v>
      </c>
      <c r="F16" s="424">
        <v>0</v>
      </c>
      <c r="G16" s="424">
        <f t="shared" ref="G16:G28" si="0">E16-F16</f>
        <v>0.39930555555555558</v>
      </c>
      <c r="H16" s="424">
        <v>0.74583333333333335</v>
      </c>
      <c r="I16" s="425">
        <v>1</v>
      </c>
      <c r="J16" s="425">
        <f t="shared" ref="J16:J30" si="1">IFERROR(IF(AND(G16&lt;&gt;"",H16&lt;&gt;""),IF(G16&gt;$B$13+TIME($C$13,($C$13-INT($C$13))*60,0),0,IF(H16&gt;$B$13+TIME($C$13,($C$13-INT($C$13))*60,0),MIN(TIME($C$13,($C$13-INT($C$13))*60,0),($B$13+TIME($C$13,($C$13-INT($C$13))*60,0)-G16)),MIN(IF((H16-$B$13)&lt;0,0,(H16-$B$13)),(H16-G16))))*24,"")-I16,"")</f>
        <v>7.3166666666666664</v>
      </c>
      <c r="K16" s="425">
        <f t="shared" ref="K16:K24" si="2">IF(AND(G16&lt;&gt;"",H16&lt;&gt;""),((IF(G16&lt;$B$13,MIN($B$13-G16,H16-G16),0)+IF(H16&gt;$B$13+TIME($C$13,($C$13-INT($C$13))*60,0),MIN((H16-$B$13-TIME($C$13,($C$13-INT($C$13))*60,0)),(H16-G16)),0))*24),"")</f>
        <v>0</v>
      </c>
      <c r="L16" s="426">
        <f>E16-B13</f>
        <v>6.5972222222222265E-2</v>
      </c>
      <c r="M16" s="423">
        <f>(D13/60)*0</f>
        <v>0</v>
      </c>
      <c r="N16" s="427">
        <f>IFERROR(J16*IF(AND(ISNUMBER(SEARCH(TEXT(C16,"ddd"),$G$10)),Data!$F$2),$G$13,$D$13)+K16*$G$13,"")</f>
        <v>703.52564102564111</v>
      </c>
      <c r="O16" s="100"/>
      <c r="P16" s="89"/>
      <c r="Q16" s="89"/>
    </row>
    <row r="17" spans="2:34">
      <c r="B17" s="432">
        <v>2</v>
      </c>
      <c r="C17" s="429">
        <f t="shared" ref="C17:D30" si="3">C16+1</f>
        <v>46277</v>
      </c>
      <c r="D17" s="430">
        <f t="shared" si="3"/>
        <v>46277</v>
      </c>
      <c r="E17" s="424">
        <v>0.41875000000000001</v>
      </c>
      <c r="F17" s="424">
        <v>0</v>
      </c>
      <c r="G17" s="424">
        <f t="shared" si="0"/>
        <v>0.41875000000000001</v>
      </c>
      <c r="H17" s="424">
        <v>0.5</v>
      </c>
      <c r="I17" s="425">
        <v>0</v>
      </c>
      <c r="J17" s="425">
        <f t="shared" si="1"/>
        <v>1.9499999999999997</v>
      </c>
      <c r="K17" s="425">
        <f t="shared" si="2"/>
        <v>0</v>
      </c>
      <c r="L17" s="426">
        <f>E17-B13</f>
        <v>8.5416666666666696E-2</v>
      </c>
      <c r="M17" s="423">
        <f>(D13/60)*0</f>
        <v>0</v>
      </c>
      <c r="N17" s="427">
        <f>IFERROR(J17*IF(AND(ISNUMBER(SEARCH(TEXT(C17,"ddd"),$G$10)),Data!$F$2),$G$13,$D$13)+K17*$G$13,"")</f>
        <v>187.5</v>
      </c>
      <c r="O17" s="89"/>
      <c r="P17" s="89"/>
      <c r="Q17" s="89"/>
    </row>
    <row r="18" spans="2:34">
      <c r="B18" s="432"/>
      <c r="C18" s="429">
        <f t="shared" si="3"/>
        <v>46278</v>
      </c>
      <c r="D18" s="430">
        <f t="shared" si="3"/>
        <v>46278</v>
      </c>
      <c r="E18" s="328">
        <v>0</v>
      </c>
      <c r="F18" s="328">
        <v>0</v>
      </c>
      <c r="G18" s="328">
        <f t="shared" si="0"/>
        <v>0</v>
      </c>
      <c r="H18" s="328">
        <v>0</v>
      </c>
      <c r="I18" s="329">
        <v>0</v>
      </c>
      <c r="J18" s="329">
        <f t="shared" si="1"/>
        <v>0</v>
      </c>
      <c r="K18" s="329">
        <f t="shared" ref="K18:K19" si="4">IF(AND(G18&lt;&gt;"",H18&lt;&gt;""),((IF(G18&lt;$B$13,MIN($B$13-G18,H18-G18),0)+IF(H18&gt;$B$13+TIME($C$13,($C$13-INT($C$13))*60,0),MIN((H18-$B$13-TIME($C$13,($C$13-INT($C$13))*60,0)),(H18-G18)),0))*24),"")</f>
        <v>0</v>
      </c>
      <c r="L18" s="97">
        <v>0</v>
      </c>
      <c r="M18" s="98">
        <f>(D13/60)*0</f>
        <v>0</v>
      </c>
      <c r="N18" s="427">
        <f>IFERROR(J18*IF(AND(ISNUMBER(SEARCH(TEXT(C18,"ddd"),$G$10)),Data!$F$2),$G$13,$D$13)+K18*$G$13,"")</f>
        <v>0</v>
      </c>
      <c r="O18" s="106"/>
      <c r="P18" s="104"/>
      <c r="Q18" s="104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</row>
    <row r="19" spans="2:34">
      <c r="B19" s="432">
        <v>3</v>
      </c>
      <c r="C19" s="429">
        <f t="shared" si="3"/>
        <v>46279</v>
      </c>
      <c r="D19" s="430">
        <f t="shared" si="3"/>
        <v>46279</v>
      </c>
      <c r="E19" s="424">
        <v>0.35694444444444445</v>
      </c>
      <c r="F19" s="424">
        <v>0</v>
      </c>
      <c r="G19" s="424">
        <f t="shared" si="0"/>
        <v>0.35694444444444445</v>
      </c>
      <c r="H19" s="424">
        <v>0.75</v>
      </c>
      <c r="I19" s="425">
        <v>1</v>
      </c>
      <c r="J19" s="425">
        <f t="shared" ref="J19:J20" si="5">IFERROR(IF(AND(G19&lt;&gt;"",H19&lt;&gt;""),IF(G19&gt;$B$13+TIME($C$13,($C$13-INT($C$13))*60,0),0,IF(H19&gt;$B$13+TIME($C$13,($C$13-INT($C$13))*60,0),MIN(TIME($C$13,($C$13-INT($C$13))*60,0),($B$13+TIME($C$13,($C$13-INT($C$13))*60,0)-G19)),MIN(IF((H19-$B$13)&lt;0,0,(H19-$B$13)),(H19-G19))))*24,"")-I19,"")</f>
        <v>8.4333333333333336</v>
      </c>
      <c r="K19" s="425">
        <f t="shared" si="4"/>
        <v>0</v>
      </c>
      <c r="L19" s="426">
        <f>E19-B13</f>
        <v>2.3611111111111138E-2</v>
      </c>
      <c r="M19" s="423">
        <f>(D13/60)*0</f>
        <v>0</v>
      </c>
      <c r="N19" s="427">
        <f>IFERROR(J19*IF(AND(ISNUMBER(SEARCH(TEXT(C19,"ddd"),$G$10)),Data!$F$2),$G$13,$D$13)+K19*$G$13,"")</f>
        <v>810.89743589743603</v>
      </c>
      <c r="O19" s="106"/>
      <c r="P19" s="103"/>
      <c r="Q19" s="103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28"/>
    </row>
    <row r="20" spans="2:34">
      <c r="B20" s="432">
        <v>4</v>
      </c>
      <c r="C20" s="429">
        <f t="shared" si="3"/>
        <v>46280</v>
      </c>
      <c r="D20" s="430">
        <f t="shared" si="3"/>
        <v>46280</v>
      </c>
      <c r="E20" s="424">
        <v>0.33333333333333331</v>
      </c>
      <c r="F20" s="424">
        <v>0</v>
      </c>
      <c r="G20" s="424">
        <f t="shared" si="0"/>
        <v>0.33333333333333331</v>
      </c>
      <c r="H20" s="424">
        <v>0.6958333333333333</v>
      </c>
      <c r="I20" s="425">
        <v>1</v>
      </c>
      <c r="J20" s="425">
        <f t="shared" si="5"/>
        <v>7.6999999999999993</v>
      </c>
      <c r="K20" s="425">
        <f t="shared" ref="K20:K21" si="6">IF(AND(G20&lt;&gt;"",H20&lt;&gt;""),((IF(G20&lt;$B$13,MIN($B$13-G20,H20-G20),0)+IF(H20&gt;$B$13+TIME($C$13,($C$13-INT($C$13))*60,0),MIN((H20-$B$13-TIME($C$13,($C$13-INT($C$13))*60,0)),(H20-G20)),0))*24),"")</f>
        <v>0</v>
      </c>
      <c r="L20" s="426">
        <f>E20-B13</f>
        <v>0</v>
      </c>
      <c r="M20" s="423">
        <f>(D13/60)*0</f>
        <v>0</v>
      </c>
      <c r="N20" s="427">
        <f>IFERROR(J20*IF(AND(ISNUMBER(SEARCH(TEXT(C20,"ddd"),$G$10)),Data!$F$2),$G$13,$D$13)+K20*$G$13,"")</f>
        <v>740.38461538461536</v>
      </c>
      <c r="O20" s="107"/>
      <c r="P20" s="108"/>
      <c r="Q20" s="108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4"/>
    </row>
    <row r="21" spans="2:34">
      <c r="B21" s="432">
        <v>5</v>
      </c>
      <c r="C21" s="429">
        <f t="shared" si="3"/>
        <v>46281</v>
      </c>
      <c r="D21" s="430">
        <f t="shared" si="3"/>
        <v>46281</v>
      </c>
      <c r="E21" s="424">
        <v>0.33333333333333331</v>
      </c>
      <c r="F21" s="424">
        <v>0</v>
      </c>
      <c r="G21" s="424">
        <f t="shared" si="0"/>
        <v>0.33333333333333331</v>
      </c>
      <c r="H21" s="424">
        <v>0.75</v>
      </c>
      <c r="I21" s="425">
        <v>1</v>
      </c>
      <c r="J21" s="425">
        <f t="shared" si="1"/>
        <v>9</v>
      </c>
      <c r="K21" s="425">
        <f t="shared" si="6"/>
        <v>0</v>
      </c>
      <c r="L21" s="426">
        <f>E21-B13</f>
        <v>0</v>
      </c>
      <c r="M21" s="423">
        <f>(D13/60)*0</f>
        <v>0</v>
      </c>
      <c r="N21" s="427">
        <f>IFERROR(J21*IF(AND(ISNUMBER(SEARCH(TEXT(C21,"ddd"),$G$10)),Data!$F$2),$G$13,$D$13)+K21*$G$13,"")</f>
        <v>865.38461538461547</v>
      </c>
      <c r="O21" s="601"/>
      <c r="P21" s="602"/>
      <c r="Q21" s="602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4"/>
    </row>
    <row r="22" spans="2:34">
      <c r="B22" s="432">
        <v>6</v>
      </c>
      <c r="C22" s="429">
        <f t="shared" si="3"/>
        <v>46282</v>
      </c>
      <c r="D22" s="430">
        <f t="shared" si="3"/>
        <v>46282</v>
      </c>
      <c r="E22" s="424">
        <v>0.33333333333333331</v>
      </c>
      <c r="F22" s="424">
        <v>0</v>
      </c>
      <c r="G22" s="424">
        <f t="shared" si="0"/>
        <v>0.33333333333333331</v>
      </c>
      <c r="H22" s="424">
        <v>0.75</v>
      </c>
      <c r="I22" s="425">
        <v>0</v>
      </c>
      <c r="J22" s="425">
        <f t="shared" si="1"/>
        <v>10</v>
      </c>
      <c r="K22" s="425">
        <v>0</v>
      </c>
      <c r="L22" s="426">
        <v>0</v>
      </c>
      <c r="M22" s="423">
        <f>(D13/60)*0</f>
        <v>0</v>
      </c>
      <c r="N22" s="427">
        <f>IFERROR(J22*IF(AND(ISNUMBER(SEARCH(TEXT(C22,"ddd"),$G$10)),Data!$F$2),$G$13,$D$13)+K22*$G$13,"")</f>
        <v>961.53846153846166</v>
      </c>
      <c r="O22" s="89"/>
      <c r="P22" s="89"/>
      <c r="Q22" s="89"/>
    </row>
    <row r="23" spans="2:34">
      <c r="B23" s="432">
        <v>7</v>
      </c>
      <c r="C23" s="429">
        <f t="shared" si="3"/>
        <v>46283</v>
      </c>
      <c r="D23" s="430">
        <f t="shared" si="3"/>
        <v>46283</v>
      </c>
      <c r="E23" s="424">
        <v>0.33333333333333331</v>
      </c>
      <c r="F23" s="424">
        <v>0</v>
      </c>
      <c r="G23" s="424">
        <f t="shared" si="0"/>
        <v>0.33333333333333331</v>
      </c>
      <c r="H23" s="424">
        <v>0.75</v>
      </c>
      <c r="I23" s="425">
        <v>0</v>
      </c>
      <c r="J23" s="425">
        <f t="shared" si="1"/>
        <v>10</v>
      </c>
      <c r="K23" s="425">
        <v>0</v>
      </c>
      <c r="L23" s="433">
        <v>0</v>
      </c>
      <c r="M23" s="423">
        <f>(D13/60)*0</f>
        <v>0</v>
      </c>
      <c r="N23" s="427">
        <f>IFERROR(J23*IF(AND(ISNUMBER(SEARCH(TEXT(C23,"ddd"),$G$10)),Data!$F$2),$G$13,$D$13)+K23*$G$13,"")</f>
        <v>961.53846153846166</v>
      </c>
      <c r="O23" s="89"/>
      <c r="P23" s="89"/>
      <c r="Q23" s="89"/>
    </row>
    <row r="24" spans="2:34">
      <c r="B24" s="432">
        <v>8</v>
      </c>
      <c r="C24" s="429">
        <f t="shared" si="3"/>
        <v>46284</v>
      </c>
      <c r="D24" s="430">
        <f t="shared" si="3"/>
        <v>46284</v>
      </c>
      <c r="E24" s="424">
        <v>0.39166666666666666</v>
      </c>
      <c r="F24" s="424">
        <v>0</v>
      </c>
      <c r="G24" s="424">
        <f t="shared" si="0"/>
        <v>0.39166666666666666</v>
      </c>
      <c r="H24" s="424">
        <v>0.5</v>
      </c>
      <c r="I24" s="425">
        <v>0</v>
      </c>
      <c r="J24" s="425">
        <f t="shared" si="1"/>
        <v>2.6</v>
      </c>
      <c r="K24" s="425">
        <f t="shared" si="2"/>
        <v>0</v>
      </c>
      <c r="L24" s="426">
        <f>E24-B13</f>
        <v>5.8333333333333348E-2</v>
      </c>
      <c r="M24" s="423">
        <f>(D13/60)*0</f>
        <v>0</v>
      </c>
      <c r="N24" s="427">
        <f>IFERROR(J24*IF(AND(ISNUMBER(SEARCH(TEXT(C24,"ddd"),$G$10)),Data!$F$2),$G$13,$D$13)+K24*$G$13,"")</f>
        <v>250.00000000000003</v>
      </c>
      <c r="O24" s="89"/>
      <c r="P24" s="89"/>
      <c r="Q24" s="89"/>
    </row>
    <row r="25" spans="2:34">
      <c r="B25" s="432"/>
      <c r="C25" s="429">
        <f t="shared" si="3"/>
        <v>46285</v>
      </c>
      <c r="D25" s="430">
        <f>D24+1</f>
        <v>46285</v>
      </c>
      <c r="E25" s="328">
        <v>0</v>
      </c>
      <c r="F25" s="328">
        <v>0</v>
      </c>
      <c r="G25" s="328">
        <f t="shared" si="0"/>
        <v>0</v>
      </c>
      <c r="H25" s="328">
        <v>0</v>
      </c>
      <c r="I25" s="329">
        <v>0</v>
      </c>
      <c r="J25" s="329">
        <f t="shared" si="1"/>
        <v>0</v>
      </c>
      <c r="K25" s="329">
        <f t="shared" ref="K25:K29" si="7">IF(AND(G25&lt;&gt;"",H25&lt;&gt;""),((IF(G25&lt;$B$13,MIN($B$13-G25,H25-G25),0)+IF(H25&gt;$B$13+TIME($C$13,($C$13-INT($C$13))*60,0),MIN((H25-$B$13-TIME($C$13,($C$13-INT($C$13))*60,0)),(H25-G25)),0))*24),"")</f>
        <v>0</v>
      </c>
      <c r="L25" s="97">
        <v>0</v>
      </c>
      <c r="M25" s="98">
        <f>(D13/60)*0</f>
        <v>0</v>
      </c>
      <c r="N25" s="427">
        <f>IFERROR(J25*IF(AND(ISNUMBER(SEARCH(TEXT(C25,"ddd"),$G$10)),Data!$F$2),$G$13,$D$13)+K25*$G$13,"")</f>
        <v>0</v>
      </c>
      <c r="O25" s="89"/>
      <c r="P25" s="89"/>
      <c r="Q25" s="89"/>
    </row>
    <row r="26" spans="2:34">
      <c r="B26" s="432">
        <v>9</v>
      </c>
      <c r="C26" s="429">
        <f t="shared" si="3"/>
        <v>46286</v>
      </c>
      <c r="D26" s="430">
        <f t="shared" si="3"/>
        <v>46286</v>
      </c>
      <c r="E26" s="424">
        <v>0.34236111111111112</v>
      </c>
      <c r="F26" s="424">
        <v>0</v>
      </c>
      <c r="G26" s="424">
        <f t="shared" si="0"/>
        <v>0.34236111111111112</v>
      </c>
      <c r="H26" s="424">
        <v>0.74236111111111114</v>
      </c>
      <c r="I26" s="425">
        <v>1</v>
      </c>
      <c r="J26" s="425">
        <f t="shared" ref="J26" si="8">IFERROR(IF(AND(G26&lt;&gt;"",H26&lt;&gt;""),IF(G26&gt;$B$13+TIME($C$13,($C$13-INT($C$13))*60,0),0,IF(H26&gt;$B$13+TIME($C$13,($C$13-INT($C$13))*60,0),MIN(TIME($C$13,($C$13-INT($C$13))*60,0),($B$13+TIME($C$13,($C$13-INT($C$13))*60,0)-G26)),MIN(IF((H26-$B$13)&lt;0,0,(H26-$B$13)),(H26-G26))))*24,"")-I26,"")</f>
        <v>8.6000000000000014</v>
      </c>
      <c r="K26" s="425">
        <f t="shared" si="7"/>
        <v>0</v>
      </c>
      <c r="L26" s="426">
        <f>E26-B13</f>
        <v>9.0277777777778012E-3</v>
      </c>
      <c r="M26" s="423">
        <f>(D13/60)*0</f>
        <v>0</v>
      </c>
      <c r="N26" s="427">
        <f>IFERROR(J26*IF(AND(ISNUMBER(SEARCH(TEXT(C26,"ddd"),$G$10)),Data!$F$2),$G$13,$D$13)+K26*$G$13,"")</f>
        <v>826.92307692307713</v>
      </c>
      <c r="O26" s="95"/>
    </row>
    <row r="27" spans="2:34">
      <c r="B27" s="432">
        <v>10</v>
      </c>
      <c r="C27" s="429">
        <f t="shared" si="3"/>
        <v>46287</v>
      </c>
      <c r="D27" s="430">
        <f t="shared" si="3"/>
        <v>46287</v>
      </c>
      <c r="E27" s="424">
        <v>0.37222222222222223</v>
      </c>
      <c r="F27" s="424">
        <v>0</v>
      </c>
      <c r="G27" s="424">
        <f t="shared" si="0"/>
        <v>0.37222222222222223</v>
      </c>
      <c r="H27" s="424">
        <v>0.74722222222222223</v>
      </c>
      <c r="I27" s="425">
        <v>1</v>
      </c>
      <c r="J27" s="425">
        <f t="shared" si="1"/>
        <v>8</v>
      </c>
      <c r="K27" s="425">
        <f t="shared" si="7"/>
        <v>0</v>
      </c>
      <c r="L27" s="426">
        <f>E27-B13</f>
        <v>3.8888888888888917E-2</v>
      </c>
      <c r="M27" s="423">
        <f>(D13/60)*0</f>
        <v>0</v>
      </c>
      <c r="N27" s="427">
        <f>IFERROR(J27*IF(AND(ISNUMBER(SEARCH(TEXT(C27,"ddd"),$G$10)),Data!$F$2),$G$13,$D$13)+K27*$G$13,"")</f>
        <v>769.23076923076928</v>
      </c>
    </row>
    <row r="28" spans="2:34">
      <c r="B28" s="432">
        <v>11</v>
      </c>
      <c r="C28" s="429">
        <f t="shared" si="3"/>
        <v>46288</v>
      </c>
      <c r="D28" s="430">
        <f t="shared" si="3"/>
        <v>46288</v>
      </c>
      <c r="E28" s="424">
        <v>0.39513888888888887</v>
      </c>
      <c r="F28" s="424">
        <v>0</v>
      </c>
      <c r="G28" s="424">
        <f t="shared" si="0"/>
        <v>0.39513888888888887</v>
      </c>
      <c r="H28" s="424">
        <v>0.5</v>
      </c>
      <c r="I28" s="425">
        <v>0</v>
      </c>
      <c r="J28" s="425">
        <f t="shared" si="1"/>
        <v>2.5166666666666671</v>
      </c>
      <c r="K28" s="425">
        <f t="shared" si="7"/>
        <v>0</v>
      </c>
      <c r="L28" s="426">
        <f>E28-B13</f>
        <v>6.1805555555555558E-2</v>
      </c>
      <c r="M28" s="423">
        <f>(D13/60)*300</f>
        <v>480.76923076923077</v>
      </c>
      <c r="N28" s="427">
        <f>IFERROR(J28*IF(AND(ISNUMBER(SEARCH(TEXT(C28,"ddd"),$G$10)),Data!$F$2),$G$13,$D$13)+K28*$G$13,"")</f>
        <v>241.98717948717953</v>
      </c>
      <c r="O28" s="95"/>
    </row>
    <row r="29" spans="2:34">
      <c r="B29" s="432">
        <v>12</v>
      </c>
      <c r="C29" s="429">
        <f t="shared" si="3"/>
        <v>46289</v>
      </c>
      <c r="D29" s="430">
        <f t="shared" si="3"/>
        <v>46289</v>
      </c>
      <c r="E29" s="424">
        <v>0.35833333333333334</v>
      </c>
      <c r="F29" s="424">
        <v>0</v>
      </c>
      <c r="G29" s="424">
        <f>E29-F29</f>
        <v>0.35833333333333334</v>
      </c>
      <c r="H29" s="424">
        <v>0.74236111111111114</v>
      </c>
      <c r="I29" s="425">
        <v>1</v>
      </c>
      <c r="J29" s="425">
        <f t="shared" si="1"/>
        <v>8.2166666666666668</v>
      </c>
      <c r="K29" s="425">
        <f t="shared" si="7"/>
        <v>0</v>
      </c>
      <c r="L29" s="426">
        <f>E29-B13</f>
        <v>2.5000000000000022E-2</v>
      </c>
      <c r="M29" s="423">
        <f>(D13/60)*0</f>
        <v>0</v>
      </c>
      <c r="N29" s="427">
        <f>IFERROR(J29*IF(AND(ISNUMBER(SEARCH(TEXT(C29,"ddd"),$G$10)),Data!$F$2),$G$13,$D$13)+K29*$G$13,"")</f>
        <v>790.06410256410265</v>
      </c>
      <c r="O29" s="95"/>
    </row>
    <row r="30" spans="2:34">
      <c r="B30" s="432">
        <v>13</v>
      </c>
      <c r="C30" s="429">
        <f t="shared" si="3"/>
        <v>46290</v>
      </c>
      <c r="D30" s="430">
        <f t="shared" si="3"/>
        <v>46290</v>
      </c>
      <c r="E30" s="424">
        <v>0.375</v>
      </c>
      <c r="F30" s="424">
        <v>0</v>
      </c>
      <c r="G30" s="424">
        <f>E30-F30</f>
        <v>0.375</v>
      </c>
      <c r="H30" s="424">
        <v>0.75</v>
      </c>
      <c r="I30" s="425">
        <v>1</v>
      </c>
      <c r="J30" s="425">
        <f t="shared" si="1"/>
        <v>8</v>
      </c>
      <c r="K30" s="425">
        <v>0</v>
      </c>
      <c r="L30" s="426">
        <f>E30-B13</f>
        <v>4.1666666666666685E-2</v>
      </c>
      <c r="M30" s="423">
        <f>(D13/60)*0</f>
        <v>0</v>
      </c>
      <c r="N30" s="427">
        <f>IFERROR(J30*IF(AND(ISNUMBER(SEARCH(TEXT(C30,"ddd"),$G$10)),Data!$F$2),$G$13,$D$13)+K30*$G$13,"")</f>
        <v>769.23076923076928</v>
      </c>
      <c r="O30" s="150"/>
    </row>
    <row r="31" spans="2:34">
      <c r="B31" s="441"/>
      <c r="C31" s="442"/>
      <c r="D31" s="443"/>
      <c r="E31" s="444"/>
      <c r="F31" s="444"/>
      <c r="G31" s="593" t="s">
        <v>182</v>
      </c>
      <c r="H31" s="594"/>
      <c r="I31" s="445">
        <v>0</v>
      </c>
      <c r="J31" s="445">
        <f>SUM(J16:J30)</f>
        <v>92.333333333333329</v>
      </c>
      <c r="K31" s="445">
        <f>SUM(K16:K30)</f>
        <v>0</v>
      </c>
      <c r="L31" s="445">
        <f>SUM(L16:L30)</f>
        <v>0.40972222222222243</v>
      </c>
      <c r="M31" s="445">
        <f>SUM(M16:M30)</f>
        <v>480.76923076923077</v>
      </c>
      <c r="N31" s="442"/>
    </row>
    <row r="32" spans="2:34">
      <c r="B32" s="66"/>
      <c r="C32" s="76"/>
      <c r="D32" s="77"/>
      <c r="E32" s="144"/>
      <c r="F32" s="144"/>
      <c r="G32" s="81" t="s">
        <v>39</v>
      </c>
      <c r="H32" s="82"/>
      <c r="I32" s="83"/>
      <c r="J32" s="84"/>
      <c r="K32" s="317"/>
      <c r="L32" s="117">
        <f>(D13/60)*180</f>
        <v>288.46153846153845</v>
      </c>
      <c r="M32" s="118"/>
      <c r="N32" s="119">
        <f>(H13*D13)-N36</f>
        <v>10000</v>
      </c>
      <c r="O32" s="95"/>
      <c r="P32" s="136"/>
    </row>
    <row r="33" spans="2:15">
      <c r="B33" s="65"/>
      <c r="C33" s="65"/>
      <c r="D33" s="85"/>
      <c r="E33" s="85"/>
      <c r="F33" s="85"/>
      <c r="G33" s="592" t="s">
        <v>183</v>
      </c>
      <c r="H33" s="592"/>
      <c r="I33" s="80"/>
      <c r="J33" s="80">
        <f>H13-J31</f>
        <v>11.666666666666671</v>
      </c>
      <c r="K33" s="65"/>
      <c r="L33" s="120"/>
      <c r="M33" s="65"/>
      <c r="N33" s="121">
        <f>M31</f>
        <v>480.76923076923077</v>
      </c>
      <c r="O33" s="151"/>
    </row>
    <row r="34" spans="2:15">
      <c r="B34" s="65"/>
      <c r="C34" s="65"/>
      <c r="D34" s="85"/>
      <c r="E34" s="145"/>
      <c r="F34" s="145"/>
      <c r="G34" s="78" t="s">
        <v>41</v>
      </c>
      <c r="H34" s="79"/>
      <c r="I34" s="66"/>
      <c r="J34" s="66"/>
      <c r="K34" s="80"/>
      <c r="L34" s="80"/>
      <c r="M34" s="80"/>
      <c r="N34" s="121">
        <f>N32-N33</f>
        <v>9519.2307692307695</v>
      </c>
      <c r="O34" s="95"/>
    </row>
    <row r="35" spans="2:15">
      <c r="B35" s="65"/>
      <c r="C35" s="65"/>
      <c r="D35" s="85"/>
      <c r="E35" s="146"/>
      <c r="F35" s="146"/>
      <c r="G35" s="595" t="s">
        <v>202</v>
      </c>
      <c r="H35" s="596"/>
      <c r="I35" s="80"/>
      <c r="J35" s="401"/>
      <c r="K35" s="122"/>
      <c r="L35" s="122"/>
      <c r="M35" s="122"/>
      <c r="N35" s="123">
        <f>(G13*K31)</f>
        <v>0</v>
      </c>
      <c r="O35" s="95"/>
    </row>
    <row r="36" spans="2:15">
      <c r="B36" s="65"/>
      <c r="C36" s="65"/>
      <c r="D36" s="85"/>
      <c r="E36" s="146"/>
      <c r="F36" s="146"/>
      <c r="G36" s="86" t="s">
        <v>203</v>
      </c>
      <c r="H36" s="87"/>
      <c r="I36" s="80"/>
      <c r="J36" s="66"/>
      <c r="K36" s="122"/>
      <c r="L36" s="122"/>
      <c r="M36" s="122"/>
      <c r="N36" s="123">
        <v>0</v>
      </c>
    </row>
    <row r="37" spans="2:15">
      <c r="B37" s="65"/>
      <c r="C37" s="65"/>
      <c r="D37" s="85"/>
      <c r="E37" s="145"/>
      <c r="F37" s="145"/>
      <c r="G37" s="597" t="s">
        <v>186</v>
      </c>
      <c r="H37" s="598"/>
      <c r="I37" s="66"/>
      <c r="J37" s="66"/>
      <c r="K37" s="66"/>
      <c r="L37" s="66"/>
      <c r="M37" s="66"/>
      <c r="N37" s="124">
        <f>N34+N35+N36</f>
        <v>9519.2307692307695</v>
      </c>
      <c r="O37" s="95"/>
    </row>
    <row r="38" spans="2:15">
      <c r="D38" s="88"/>
      <c r="E38" s="88"/>
      <c r="F38" s="88"/>
      <c r="G38" s="589"/>
      <c r="H38" s="589"/>
      <c r="I38" s="90"/>
      <c r="J38" s="90"/>
      <c r="K38" s="125"/>
      <c r="L38" s="125"/>
      <c r="M38" s="125"/>
      <c r="N38" s="126"/>
      <c r="O38" s="127"/>
    </row>
    <row r="39" spans="2:15">
      <c r="D39" s="88"/>
      <c r="E39" s="88"/>
      <c r="F39" s="88"/>
      <c r="G39" s="89"/>
      <c r="H39" s="89"/>
      <c r="I39" s="90"/>
      <c r="J39" s="90"/>
      <c r="K39" s="125"/>
      <c r="L39" s="125"/>
      <c r="M39" s="125"/>
      <c r="N39" s="126"/>
      <c r="O39" s="127"/>
    </row>
    <row r="40" spans="2:15">
      <c r="D40" s="91"/>
      <c r="E40" s="91"/>
      <c r="F40" s="91"/>
    </row>
    <row r="41" spans="2:15">
      <c r="D41" s="91"/>
      <c r="E41" s="91"/>
      <c r="F41" s="91"/>
    </row>
    <row r="42" spans="2:15">
      <c r="B42" s="590" t="s">
        <v>187</v>
      </c>
      <c r="C42" s="590"/>
      <c r="D42" s="590"/>
      <c r="E42" s="590"/>
      <c r="F42" s="590"/>
      <c r="G42" s="590"/>
      <c r="H42" s="590"/>
      <c r="I42" s="590"/>
      <c r="J42" s="590"/>
      <c r="K42" s="590"/>
      <c r="L42" s="590"/>
      <c r="M42" s="590"/>
      <c r="N42" s="590"/>
    </row>
    <row r="43" spans="2:15">
      <c r="D43" s="91"/>
      <c r="E43" s="91"/>
      <c r="F43" s="91"/>
    </row>
    <row r="44" spans="2:15">
      <c r="D44" s="91" t="s">
        <v>188</v>
      </c>
      <c r="E44" s="91"/>
      <c r="F44" s="91"/>
      <c r="N44" s="95"/>
    </row>
    <row r="45" spans="2:15">
      <c r="D45" s="54" t="s">
        <v>10</v>
      </c>
      <c r="E45" s="54"/>
      <c r="F45" s="54"/>
      <c r="G45" s="54" t="s">
        <v>11</v>
      </c>
      <c r="H45" s="54" t="s">
        <v>12</v>
      </c>
      <c r="I45" s="55" t="s">
        <v>13</v>
      </c>
    </row>
    <row r="46" spans="2:15">
      <c r="D46" s="56">
        <v>2026</v>
      </c>
      <c r="E46" s="56"/>
      <c r="F46" s="56"/>
      <c r="G46" s="56" t="s">
        <v>204</v>
      </c>
      <c r="H46" s="56">
        <v>12</v>
      </c>
      <c r="I46" s="56" t="s">
        <v>15</v>
      </c>
    </row>
    <row r="47" spans="2:15">
      <c r="D47" s="57"/>
      <c r="E47" s="57"/>
      <c r="F47" s="57"/>
      <c r="G47" s="57"/>
    </row>
    <row r="48" spans="2:15" ht="33.75">
      <c r="D48" s="58" t="s">
        <v>16</v>
      </c>
      <c r="E48" s="58"/>
      <c r="F48" s="58"/>
      <c r="G48" s="58" t="s">
        <v>17</v>
      </c>
      <c r="H48" s="58" t="s">
        <v>18</v>
      </c>
      <c r="I48" s="58" t="s">
        <v>19</v>
      </c>
    </row>
    <row r="49" spans="3:14">
      <c r="D49" s="61">
        <v>0.33333333333333298</v>
      </c>
      <c r="E49" s="61"/>
      <c r="F49" s="61"/>
      <c r="G49" s="62">
        <v>10</v>
      </c>
      <c r="H49" s="63">
        <f>D13</f>
        <v>96.15384615384616</v>
      </c>
      <c r="I49" s="130">
        <f>(H49*30%)+H49</f>
        <v>125</v>
      </c>
    </row>
    <row r="51" spans="3:14">
      <c r="C51" s="131" t="s">
        <v>20</v>
      </c>
      <c r="D51" s="131" t="s">
        <v>12</v>
      </c>
      <c r="E51" s="131"/>
      <c r="F51" s="131"/>
      <c r="G51" s="131" t="s">
        <v>21</v>
      </c>
      <c r="H51" s="131" t="s">
        <v>22</v>
      </c>
      <c r="I51" s="131" t="s">
        <v>23</v>
      </c>
      <c r="J51" s="131" t="s">
        <v>24</v>
      </c>
      <c r="K51" s="131" t="s">
        <v>25</v>
      </c>
      <c r="L51" s="131"/>
      <c r="M51" s="131"/>
      <c r="N51" s="131" t="s">
        <v>26</v>
      </c>
    </row>
    <row r="52" spans="3:14">
      <c r="C52" s="70" t="s">
        <v>353</v>
      </c>
      <c r="D52" s="71">
        <f>DATE($B$11,MATCH($G$46,Data!$B$2:$B$13,0),'Fixed Salary - Sample'!$H$46)</f>
        <v>164</v>
      </c>
      <c r="E52" s="71"/>
      <c r="F52" s="71"/>
      <c r="G52" s="72">
        <v>0.33333333333333331</v>
      </c>
      <c r="H52" s="72">
        <v>0.75</v>
      </c>
      <c r="I52" s="73">
        <v>1</v>
      </c>
      <c r="J52" s="73">
        <f t="shared" ref="J52" si="9">IFERROR(IF(AND(G52&lt;&gt;"",H52&lt;&gt;""),IF(G52&gt;$B$13+TIME($C$13,($C$13-INT($C$13))*60,0),0,IF(H52&gt;$B$13+TIME($C$13,($C$13-INT($C$13))*60,0),MIN(TIME($C$13,($C$13-INT($C$13))*60,0),($B$13+TIME($C$13,($C$13-INT($C$13))*60,0)-G52)),MIN(IF((H52-$B$13)&lt;0,0,(H52-$B$13)),(H52-G52))))*24,"")-I52,"")</f>
        <v>9</v>
      </c>
      <c r="K52" s="73">
        <f>IF(AND(G52&lt;&gt;"",H52&lt;&gt;""),((IF(G52&lt;$D$49,MIN($D$49-G52,H52-G52),0)+IF(H52&gt;$D$49+TIME($G$49,($G$49-INT($G$49))*60,0),MIN((H52-$D$49-TIME($G$49,($G$49-INT($G$49))*60,0)),(H52-G52)),0))*24),"")</f>
        <v>0</v>
      </c>
      <c r="L52" s="101"/>
      <c r="M52" s="102">
        <f>(D49/60)*0</f>
        <v>0</v>
      </c>
      <c r="N52" s="99">
        <f>J52*H49</f>
        <v>865.38461538461547</v>
      </c>
    </row>
    <row r="53" spans="3:14">
      <c r="C53" s="70" t="s">
        <v>445</v>
      </c>
      <c r="D53" s="71">
        <v>23</v>
      </c>
      <c r="E53" s="71"/>
      <c r="F53" s="71"/>
      <c r="G53" s="72">
        <v>0</v>
      </c>
      <c r="H53" s="72">
        <v>0</v>
      </c>
      <c r="I53" s="73">
        <v>0</v>
      </c>
      <c r="J53" s="73">
        <f t="shared" ref="J53" si="10">IFERROR(IF(AND(G53&lt;&gt;"",H53&lt;&gt;""),IF(G53&gt;$B$13+TIME($C$13,($C$13-INT($C$13))*60,0),0,IF(H53&gt;$B$13+TIME($C$13,($C$13-INT($C$13))*60,0),MIN(TIME($C$13,($C$13-INT($C$13))*60,0),($B$13+TIME($C$13,($C$13-INT($C$13))*60,0)-G53)),MIN(IF((H53-$B$13)&lt;0,0,(H53-$B$13)),(H53-G53))))*24,"")-I53,"")</f>
        <v>0</v>
      </c>
      <c r="K53" s="73">
        <f>IF(AND(G53&lt;&gt;"",H53&lt;&gt;""),((IF(G53&lt;$D$49,MIN($D$49-G53,H53-G53),0)+IF(H53&gt;$D$49+TIME($G$49,($G$49-INT($G$49))*60,0),MIN((H53-$D$49-TIME($G$49,($G$49-INT($G$49))*60,0)),(H53-G53)),0))*24),"")</f>
        <v>0</v>
      </c>
      <c r="L53" s="101"/>
      <c r="M53" s="102">
        <f>(D50/60)*0</f>
        <v>0</v>
      </c>
      <c r="N53" s="99">
        <f>J53*H49</f>
        <v>0</v>
      </c>
    </row>
    <row r="54" spans="3:14"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318">
        <f>SUM(N52:N53)</f>
        <v>865.38461538461547</v>
      </c>
    </row>
    <row r="55" spans="3:14">
      <c r="N55" s="138"/>
    </row>
    <row r="56" spans="3:14">
      <c r="D56" s="132"/>
      <c r="E56" s="132"/>
      <c r="F56" s="132"/>
      <c r="G56" s="133"/>
      <c r="H56" s="133"/>
      <c r="I56" s="133"/>
      <c r="N56" s="157"/>
    </row>
    <row r="57" spans="3:14">
      <c r="D57" s="132"/>
      <c r="E57" s="132"/>
      <c r="F57" s="132"/>
      <c r="G57" s="133"/>
      <c r="H57" s="133"/>
      <c r="I57" s="133"/>
      <c r="N57" s="95">
        <f>(I49*10%)+I49</f>
        <v>137.5</v>
      </c>
    </row>
    <row r="58" spans="3:14">
      <c r="D58" s="132" t="s">
        <v>190</v>
      </c>
      <c r="E58" s="132"/>
      <c r="F58" s="132"/>
      <c r="G58" s="133"/>
      <c r="H58" s="133"/>
      <c r="I58" s="133"/>
      <c r="N58" s="335">
        <f>N57*2</f>
        <v>275</v>
      </c>
    </row>
    <row r="59" spans="3:14">
      <c r="D59" s="132"/>
      <c r="E59" s="132"/>
      <c r="F59" s="132"/>
      <c r="G59" s="133"/>
      <c r="H59" s="133"/>
      <c r="I59" s="133"/>
    </row>
    <row r="60" spans="3:14">
      <c r="D60" s="591">
        <v>44981</v>
      </c>
      <c r="E60" s="591"/>
      <c r="F60" s="591"/>
      <c r="G60" s="88"/>
      <c r="H60" s="148" t="s">
        <v>280</v>
      </c>
      <c r="I60" s="254"/>
    </row>
    <row r="61" spans="3:14">
      <c r="E61" s="88"/>
      <c r="F61" s="88"/>
      <c r="G61" s="88">
        <f>G60*H61</f>
        <v>0</v>
      </c>
      <c r="H61" s="253">
        <v>0.3</v>
      </c>
      <c r="I61" s="254"/>
    </row>
    <row r="62" spans="3:14">
      <c r="E62" s="91"/>
      <c r="F62" s="91"/>
      <c r="G62" s="91"/>
    </row>
    <row r="63" spans="3:14">
      <c r="E63" s="91"/>
      <c r="F63" s="91"/>
      <c r="G63" s="91"/>
      <c r="H63" s="91">
        <f>G61</f>
        <v>0</v>
      </c>
    </row>
    <row r="64" spans="3:14">
      <c r="D64" s="132"/>
      <c r="E64" s="132"/>
      <c r="F64" s="132"/>
      <c r="G64" s="133"/>
      <c r="H64" s="133"/>
      <c r="I64" s="133"/>
    </row>
    <row r="65" spans="3:9">
      <c r="D65" s="132"/>
      <c r="E65" s="132"/>
      <c r="F65" s="132"/>
      <c r="G65" s="133"/>
      <c r="H65" s="133"/>
      <c r="I65" s="133"/>
    </row>
    <row r="66" spans="3:9">
      <c r="D66" s="132"/>
      <c r="E66" s="132"/>
      <c r="F66" s="132"/>
      <c r="G66" s="133"/>
      <c r="H66" s="133"/>
      <c r="I66" s="133"/>
    </row>
    <row r="67" spans="3:9">
      <c r="D67" s="132"/>
      <c r="E67" s="132"/>
      <c r="F67" s="132"/>
      <c r="G67" s="133"/>
      <c r="H67" s="133"/>
      <c r="I67" s="133"/>
    </row>
    <row r="68" spans="3:9">
      <c r="D68" s="132"/>
      <c r="E68" s="132"/>
      <c r="F68" s="132"/>
      <c r="G68" s="133"/>
      <c r="H68" s="133"/>
      <c r="I68" s="133"/>
    </row>
    <row r="71" spans="3:9">
      <c r="C71" s="91" t="s">
        <v>141</v>
      </c>
    </row>
    <row r="72" spans="3:9">
      <c r="C72" t="s">
        <v>66</v>
      </c>
    </row>
    <row r="73" spans="3:9">
      <c r="C73" s="91"/>
    </row>
  </sheetData>
  <mergeCells count="13">
    <mergeCell ref="D60:F60"/>
    <mergeCell ref="G31:H31"/>
    <mergeCell ref="G33:H33"/>
    <mergeCell ref="G35:H35"/>
    <mergeCell ref="G37:H37"/>
    <mergeCell ref="G38:H38"/>
    <mergeCell ref="B42:N42"/>
    <mergeCell ref="O21:Q21"/>
    <mergeCell ref="A4:N4"/>
    <mergeCell ref="C6:D6"/>
    <mergeCell ref="L6:N6"/>
    <mergeCell ref="C7:D7"/>
    <mergeCell ref="L7:N7"/>
  </mergeCells>
  <conditionalFormatting sqref="C16:D16 N16 C18:D30 N18:N30 E52:F53 J52:K53 N52:N53">
    <cfRule type="expression" dxfId="277" priority="192">
      <formula>ISNUMBER(SEARCH(TEXT($C16,"ddd"),$G$10))</formula>
    </cfRule>
  </conditionalFormatting>
  <conditionalFormatting sqref="C52:D53">
    <cfRule type="expression" dxfId="276" priority="4">
      <formula>ISNUMBER(SEARCH(TEXT($C52,"ddd"),$G$11))</formula>
    </cfRule>
  </conditionalFormatting>
  <conditionalFormatting sqref="E26">
    <cfRule type="expression" dxfId="275" priority="2">
      <formula>ISNUMBER(SEARCH(TEXT($C26,"ddd"),$G$11))</formula>
    </cfRule>
  </conditionalFormatting>
  <conditionalFormatting sqref="E16:I25 E27:I30">
    <cfRule type="expression" dxfId="274" priority="5">
      <formula>ISNUMBER(SEARCH(TEXT($C16,"ddd"),$G$11))</formula>
    </cfRule>
  </conditionalFormatting>
  <conditionalFormatting sqref="G52:I53">
    <cfRule type="expression" dxfId="273" priority="13">
      <formula>ISNUMBER(SEARCH(TEXT($C52,"ddd"),$G$11))</formula>
    </cfRule>
  </conditionalFormatting>
  <conditionalFormatting sqref="H26">
    <cfRule type="expression" dxfId="272" priority="1">
      <formula>ISNUMBER(SEARCH(TEXT($C26,"ddd"),$G$11))</formula>
    </cfRule>
  </conditionalFormatting>
  <conditionalFormatting sqref="J16:K16 J18:K25 J27:K30">
    <cfRule type="expression" dxfId="271" priority="112">
      <formula>ISNUMBER(SEARCH(TEXT($C16,"ddd"),$G$10))</formula>
    </cfRule>
  </conditionalFormatting>
  <dataValidations count="3">
    <dataValidation type="custom" allowBlank="1" showInputMessage="1" showErrorMessage="1" sqref="G52:G53 E16:G30" xr:uid="{00000000-0002-0000-0F00-000000000000}">
      <formula1>AND($G16&lt;=1,ISNUMBER($G16))</formula1>
    </dataValidation>
    <dataValidation type="list" allowBlank="1" showInputMessage="1" showErrorMessage="1" sqref="H46 D10:F10" xr:uid="{00000000-0002-0000-0F00-000001000000}">
      <formula1>DateCalc</formula1>
    </dataValidation>
    <dataValidation type="custom" allowBlank="1" showInputMessage="1" showErrorMessage="1" sqref="H52:H53 H16:H30" xr:uid="{00000000-0002-0000-0F00-000002000000}">
      <formula1>AND($H16&lt;=1,ISNUMBER($H16),($H16&gt;=$G16))</formula1>
    </dataValidation>
  </dataValidations>
  <pageMargins left="0.86250000000000004" right="0" top="0.25" bottom="0.25" header="0.3" footer="0.3"/>
  <pageSetup paperSize="9" scale="91" orientation="landscape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89793" r:id="rId4" name="Check Box 1">
              <controlPr defaultSize="0" print="0" autoPict="0">
                <anchor moveWithCells="1">
                  <from>
                    <xdr:col>7</xdr:col>
                    <xdr:colOff>180975</xdr:colOff>
                    <xdr:row>8</xdr:row>
                    <xdr:rowOff>28575</xdr:rowOff>
                  </from>
                  <to>
                    <xdr:col>8</xdr:col>
                    <xdr:colOff>571500</xdr:colOff>
                    <xdr:row>10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F00-000003000000}">
          <x14:formula1>
            <xm:f>Data!$A$2:$A$15</xm:f>
          </x14:formula1>
          <xm:sqref>D46:F46 B10</xm:sqref>
        </x14:dataValidation>
        <x14:dataValidation type="list" allowBlank="1" showInputMessage="1" showErrorMessage="1" xr:uid="{00000000-0002-0000-0F00-000004000000}">
          <x14:formula1>
            <xm:f>Data!$D$2:$D$16</xm:f>
          </x14:formula1>
          <xm:sqref>G10 I46</xm:sqref>
        </x14:dataValidation>
        <x14:dataValidation type="list" allowBlank="1" showInputMessage="1" showErrorMessage="1" xr:uid="{00000000-0002-0000-0F00-000005000000}">
          <x14:formula1>
            <xm:f>Data!$B$2:$B$13</xm:f>
          </x14:formula1>
          <xm:sqref>G46 C10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5:AH69"/>
  <sheetViews>
    <sheetView showGridLines="0" showWhiteSpace="0" view="pageLayout" topLeftCell="A14" zoomScaleNormal="100" workbookViewId="0">
      <selection activeCell="M40" sqref="M40"/>
    </sheetView>
  </sheetViews>
  <sheetFormatPr defaultColWidth="9" defaultRowHeight="12.75"/>
  <cols>
    <col min="1" max="1" width="1.625" customWidth="1"/>
    <col min="2" max="2" width="5.375" customWidth="1"/>
    <col min="3" max="3" width="7.125" customWidth="1"/>
    <col min="4" max="6" width="7.625" customWidth="1"/>
    <col min="7" max="7" width="10.125" customWidth="1"/>
    <col min="8" max="8" width="9.625" customWidth="1"/>
    <col min="9" max="9" width="8.125" customWidth="1"/>
    <col min="10" max="10" width="10.125" customWidth="1"/>
    <col min="11" max="11" width="7.875" customWidth="1"/>
    <col min="12" max="12" width="10.125" customWidth="1"/>
    <col min="13" max="13" width="10.375" customWidth="1"/>
    <col min="14" max="14" width="12.5" customWidth="1"/>
    <col min="15" max="15" width="16.875" customWidth="1"/>
    <col min="18" max="18" width="11.125" customWidth="1"/>
  </cols>
  <sheetData>
    <row r="5" spans="1:21" ht="25.5" customHeight="1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21" s="47" customFormat="1" ht="25.5" customHeight="1">
      <c r="A6" s="603"/>
      <c r="B6" s="603"/>
      <c r="C6" s="603"/>
      <c r="D6" s="603"/>
      <c r="E6" s="603"/>
      <c r="F6" s="603"/>
      <c r="G6" s="603"/>
      <c r="H6" s="603"/>
      <c r="I6" s="603"/>
      <c r="J6" s="603"/>
      <c r="K6" s="603"/>
      <c r="L6" s="603"/>
      <c r="M6" s="603"/>
      <c r="N6" s="603"/>
    </row>
    <row r="7" spans="1:21" ht="18.75" customHeight="1">
      <c r="C7" s="527" t="s">
        <v>3</v>
      </c>
      <c r="D7" s="527"/>
      <c r="E7" s="49"/>
      <c r="F7" s="49"/>
      <c r="G7" s="158" t="s">
        <v>281</v>
      </c>
      <c r="H7" s="51"/>
      <c r="K7" s="49" t="s">
        <v>174</v>
      </c>
      <c r="M7" s="599" t="str">
        <f>PAALAN!L7</f>
        <v>September  11-25, 2026</v>
      </c>
      <c r="N7" s="599"/>
      <c r="O7" s="599"/>
    </row>
    <row r="8" spans="1:21" ht="18.75" customHeight="1">
      <c r="C8" s="527" t="s">
        <v>175</v>
      </c>
      <c r="D8" s="527"/>
      <c r="E8" s="49"/>
      <c r="F8" s="49"/>
      <c r="G8" s="50" t="s">
        <v>282</v>
      </c>
      <c r="H8" s="51"/>
      <c r="K8" s="49" t="s">
        <v>176</v>
      </c>
      <c r="L8" s="92"/>
      <c r="M8" s="600" t="str">
        <f>PAALAN!L8</f>
        <v>9/31/2026</v>
      </c>
      <c r="N8" s="600"/>
      <c r="O8" s="600"/>
    </row>
    <row r="9" spans="1:21">
      <c r="C9" s="52"/>
      <c r="D9" s="53"/>
      <c r="E9" s="53"/>
      <c r="F9" s="53"/>
      <c r="G9" s="53"/>
    </row>
    <row r="10" spans="1:21">
      <c r="B10" s="54" t="s">
        <v>10</v>
      </c>
      <c r="C10" s="54" t="s">
        <v>11</v>
      </c>
      <c r="D10" s="54" t="s">
        <v>12</v>
      </c>
      <c r="E10" s="54"/>
      <c r="F10" s="54"/>
      <c r="G10" s="55" t="s">
        <v>13</v>
      </c>
    </row>
    <row r="11" spans="1:21">
      <c r="B11" s="56">
        <v>2026</v>
      </c>
      <c r="C11" s="56" t="s">
        <v>177</v>
      </c>
      <c r="D11" s="56">
        <v>11</v>
      </c>
      <c r="E11" s="56"/>
      <c r="F11" s="56"/>
      <c r="G11" s="56" t="s">
        <v>178</v>
      </c>
    </row>
    <row r="12" spans="1:21">
      <c r="B12" s="57"/>
      <c r="C12" s="57"/>
      <c r="H12" s="57"/>
      <c r="K12" s="57"/>
      <c r="L12" s="57"/>
      <c r="M12" s="57"/>
    </row>
    <row r="13" spans="1:21" ht="32.1" customHeight="1">
      <c r="B13" s="159" t="s">
        <v>16</v>
      </c>
      <c r="C13" s="159" t="s">
        <v>17</v>
      </c>
      <c r="D13" s="159" t="s">
        <v>18</v>
      </c>
      <c r="E13" s="160"/>
      <c r="F13" s="160"/>
      <c r="G13" s="160" t="s">
        <v>19</v>
      </c>
      <c r="H13" s="161" t="s">
        <v>179</v>
      </c>
      <c r="L13" s="93"/>
      <c r="M13" s="93"/>
      <c r="N13" s="94"/>
      <c r="O13" s="159" t="s">
        <v>16</v>
      </c>
      <c r="P13" s="159" t="s">
        <v>17</v>
      </c>
      <c r="Q13" s="159" t="s">
        <v>18</v>
      </c>
      <c r="R13" s="160"/>
      <c r="S13" s="160"/>
      <c r="T13" s="160" t="s">
        <v>19</v>
      </c>
      <c r="U13" s="161" t="s">
        <v>179</v>
      </c>
    </row>
    <row r="14" spans="1:21">
      <c r="B14" s="61">
        <v>0.33333333333333331</v>
      </c>
      <c r="C14" s="62">
        <v>10</v>
      </c>
      <c r="D14" s="63">
        <f>(19737.18/26)/8</f>
        <v>94.890288461538461</v>
      </c>
      <c r="E14" s="142"/>
      <c r="F14" s="142"/>
      <c r="G14" s="64">
        <f>(D14*25%)+D14</f>
        <v>118.61286057692308</v>
      </c>
      <c r="H14" s="65">
        <v>105</v>
      </c>
      <c r="I14" s="95"/>
      <c r="L14" s="57"/>
      <c r="M14" s="57"/>
      <c r="N14" s="95"/>
      <c r="O14" s="61">
        <v>0.375</v>
      </c>
      <c r="P14" s="62">
        <v>3</v>
      </c>
      <c r="Q14" s="63">
        <f>(16082.56/26)/8</f>
        <v>77.319999999999993</v>
      </c>
      <c r="R14" s="142"/>
      <c r="S14" s="142"/>
      <c r="T14" s="64">
        <f>(Q14*25%)+Q14</f>
        <v>96.649999999999991</v>
      </c>
      <c r="U14" s="65">
        <v>99</v>
      </c>
    </row>
    <row r="15" spans="1:21">
      <c r="H15" s="326" t="s">
        <v>444</v>
      </c>
      <c r="N15" s="96"/>
    </row>
    <row r="16" spans="1:21" ht="23.25">
      <c r="B16" s="66"/>
      <c r="C16" s="67" t="s">
        <v>20</v>
      </c>
      <c r="D16" s="67" t="s">
        <v>12</v>
      </c>
      <c r="E16" s="67"/>
      <c r="F16" s="67"/>
      <c r="G16" s="67" t="s">
        <v>21</v>
      </c>
      <c r="H16" s="67" t="s">
        <v>22</v>
      </c>
      <c r="I16" s="68" t="s">
        <v>23</v>
      </c>
      <c r="J16" s="68" t="s">
        <v>24</v>
      </c>
      <c r="K16" s="68" t="s">
        <v>25</v>
      </c>
      <c r="L16" s="67" t="s">
        <v>180</v>
      </c>
      <c r="M16" s="134" t="s">
        <v>181</v>
      </c>
      <c r="N16" s="67" t="s">
        <v>26</v>
      </c>
    </row>
    <row r="17" spans="2:34">
      <c r="B17" s="432">
        <v>1</v>
      </c>
      <c r="C17" s="429">
        <f>DATE($B$11,MATCH($C$11,Data!$B$2:$B$13,0),MALAZARTE!$D$11)</f>
        <v>46276</v>
      </c>
      <c r="D17" s="430">
        <f>DATE($B$11,MATCH($C$11,Data!$B$2:$B$13,0),MALAZARTE!$D$11)</f>
        <v>46276</v>
      </c>
      <c r="E17" s="424">
        <v>0.33333333333333331</v>
      </c>
      <c r="F17" s="424">
        <v>0</v>
      </c>
      <c r="G17" s="424">
        <f t="shared" ref="G17:G29" si="0">E17-F17</f>
        <v>0.33333333333333331</v>
      </c>
      <c r="H17" s="424">
        <v>0.75</v>
      </c>
      <c r="I17" s="425">
        <v>1</v>
      </c>
      <c r="J17" s="425">
        <f t="shared" ref="J17:J31" si="1">IFERROR(IF(AND(G17&lt;&gt;"",H17&lt;&gt;""),IF(G17&gt;$B$14+TIME($C$14,($C$14-INT($C$14))*60,0),0,IF(H17&gt;$B$14+TIME($C$14,($C$14-INT($C$14))*60,0),MIN(TIME($C$14,($C$14-INT($C$14))*60,0),($B$14+TIME($C$14,($C$14-INT($C$14))*60,0)-G17)),MIN(IF((H17-$B$14)&lt;0,0,(H17-$B$14)),(H17-G17))))*24,"")-I17,"")</f>
        <v>9</v>
      </c>
      <c r="K17" s="425">
        <f t="shared" ref="K17:K29" si="2">IF(AND(G17&lt;&gt;"",H17&lt;&gt;""),((IF(G17&lt;$B$14,MIN($B$14-G17,H17-G17),0)+IF(H17&gt;$B$14+TIME($C$14,($C$14-INT($C$14))*60,0),MIN((H17-$B$14-TIME($C$14,($C$14-INT($C$14))*60,0)),(H17-G17)),0))*24),"")</f>
        <v>0</v>
      </c>
      <c r="L17" s="426">
        <f>E17-B14</f>
        <v>0</v>
      </c>
      <c r="M17" s="423">
        <f>(D14/60)*0</f>
        <v>0</v>
      </c>
      <c r="N17" s="427">
        <f>IFERROR(J17*IF(AND(ISNUMBER(SEARCH(TEXT(C17,"ddd"),$G$11)),Data!$F$2),$G$14,$D$14)+K17*$G$14,"")</f>
        <v>854.01259615384618</v>
      </c>
      <c r="O17" s="141">
        <f t="shared" ref="O17:O30" si="3">M17+N17</f>
        <v>854.01259615384618</v>
      </c>
      <c r="P17" s="100"/>
      <c r="Q17" s="89"/>
    </row>
    <row r="18" spans="2:34">
      <c r="B18" s="432">
        <v>2</v>
      </c>
      <c r="C18" s="429">
        <f t="shared" ref="C18:D31" si="4">C17+1</f>
        <v>46277</v>
      </c>
      <c r="D18" s="430">
        <f t="shared" si="4"/>
        <v>46277</v>
      </c>
      <c r="E18" s="424">
        <v>0.375</v>
      </c>
      <c r="F18" s="424">
        <v>0</v>
      </c>
      <c r="G18" s="424">
        <f t="shared" si="0"/>
        <v>0.375</v>
      </c>
      <c r="H18" s="424">
        <v>0.5</v>
      </c>
      <c r="I18" s="425">
        <v>0</v>
      </c>
      <c r="J18" s="425">
        <f t="shared" si="1"/>
        <v>3</v>
      </c>
      <c r="K18" s="425">
        <v>4</v>
      </c>
      <c r="L18" s="426">
        <v>0</v>
      </c>
      <c r="M18" s="423">
        <f>(D14/60)*0</f>
        <v>0</v>
      </c>
      <c r="N18" s="427">
        <f>IFERROR(J18*IF(AND(ISNUMBER(SEARCH(TEXT(C18,"ddd"),$G$11)),Data!$F$2),$G$14,$D$14)+K18*$G$14,"")</f>
        <v>759.12230769230769</v>
      </c>
      <c r="O18" s="141">
        <f t="shared" si="3"/>
        <v>759.12230769230769</v>
      </c>
      <c r="P18" s="89"/>
      <c r="Q18" s="89"/>
    </row>
    <row r="19" spans="2:34">
      <c r="B19" s="432"/>
      <c r="C19" s="429">
        <f t="shared" si="4"/>
        <v>46278</v>
      </c>
      <c r="D19" s="430">
        <f t="shared" si="4"/>
        <v>46278</v>
      </c>
      <c r="E19" s="424">
        <v>0</v>
      </c>
      <c r="F19" s="424">
        <v>0</v>
      </c>
      <c r="G19" s="424">
        <f t="shared" si="0"/>
        <v>0</v>
      </c>
      <c r="H19" s="424">
        <v>0</v>
      </c>
      <c r="I19" s="425">
        <v>0</v>
      </c>
      <c r="J19" s="425">
        <f t="shared" si="1"/>
        <v>0</v>
      </c>
      <c r="K19" s="425">
        <f t="shared" si="2"/>
        <v>0</v>
      </c>
      <c r="L19" s="97">
        <v>0</v>
      </c>
      <c r="M19" s="98">
        <v>0</v>
      </c>
      <c r="N19" s="251">
        <f>IFERROR(J19*IF(AND(ISNUMBER(SEARCH(TEXT(C19,"ddd"),$G$11)),Data!$F$2),$G$14,$D$14)+K19*$G$14,"")</f>
        <v>0</v>
      </c>
      <c r="O19" s="141">
        <f t="shared" si="3"/>
        <v>0</v>
      </c>
      <c r="P19" s="100"/>
      <c r="Q19" s="104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</row>
    <row r="20" spans="2:34">
      <c r="B20" s="432">
        <v>3</v>
      </c>
      <c r="C20" s="429">
        <f t="shared" si="4"/>
        <v>46279</v>
      </c>
      <c r="D20" s="430">
        <f t="shared" si="4"/>
        <v>46279</v>
      </c>
      <c r="E20" s="424">
        <v>0.33333333333333331</v>
      </c>
      <c r="F20" s="424">
        <v>0</v>
      </c>
      <c r="G20" s="424">
        <f>E20-F20</f>
        <v>0.33333333333333331</v>
      </c>
      <c r="H20" s="424">
        <v>0.75</v>
      </c>
      <c r="I20" s="425">
        <v>1</v>
      </c>
      <c r="J20" s="425">
        <f t="shared" si="1"/>
        <v>9</v>
      </c>
      <c r="K20" s="425">
        <f t="shared" si="2"/>
        <v>0</v>
      </c>
      <c r="L20" s="426">
        <f>G20-B14</f>
        <v>0</v>
      </c>
      <c r="M20" s="423">
        <f>(D14/60)*0</f>
        <v>0</v>
      </c>
      <c r="N20" s="427">
        <f>IFERROR(J20*IF(AND(ISNUMBER(SEARCH(TEXT(C20,"ddd"),$G$11)),Data!$F$2),$G$14,$D$14)+K20*$G$14,"")</f>
        <v>854.01259615384618</v>
      </c>
      <c r="O20" s="141">
        <f t="shared" si="3"/>
        <v>854.01259615384618</v>
      </c>
      <c r="P20" s="103"/>
      <c r="Q20" s="103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28"/>
    </row>
    <row r="21" spans="2:34">
      <c r="B21" s="432">
        <v>4</v>
      </c>
      <c r="C21" s="429">
        <f t="shared" si="4"/>
        <v>46280</v>
      </c>
      <c r="D21" s="430">
        <f t="shared" si="4"/>
        <v>46280</v>
      </c>
      <c r="E21" s="424">
        <v>0.33541666666666664</v>
      </c>
      <c r="F21" s="424">
        <v>0</v>
      </c>
      <c r="G21" s="424">
        <f t="shared" si="0"/>
        <v>0.33541666666666664</v>
      </c>
      <c r="H21" s="424">
        <v>0.75</v>
      </c>
      <c r="I21" s="425">
        <v>1</v>
      </c>
      <c r="J21" s="425">
        <f t="shared" si="1"/>
        <v>8.9500000000000011</v>
      </c>
      <c r="K21" s="425">
        <f t="shared" si="2"/>
        <v>0</v>
      </c>
      <c r="L21" s="426">
        <f>E21-B14</f>
        <v>2.0833333333333259E-3</v>
      </c>
      <c r="M21" s="423">
        <f>(D14/60)*3</f>
        <v>4.7445144230769234</v>
      </c>
      <c r="N21" s="427">
        <f>IFERROR(J21*IF(AND(ISNUMBER(SEARCH(TEXT(C21,"ddd"),$G$11)),Data!$F$2),$G$14,$D$14)+K21*$G$14,"")</f>
        <v>849.26808173076938</v>
      </c>
      <c r="O21" s="141">
        <f t="shared" si="3"/>
        <v>854.01259615384629</v>
      </c>
      <c r="P21" s="162"/>
      <c r="Q21" s="108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4"/>
    </row>
    <row r="22" spans="2:34">
      <c r="B22" s="432">
        <v>5</v>
      </c>
      <c r="C22" s="429">
        <f t="shared" si="4"/>
        <v>46281</v>
      </c>
      <c r="D22" s="430">
        <f t="shared" si="4"/>
        <v>46281</v>
      </c>
      <c r="E22" s="424">
        <v>0.33333333333333331</v>
      </c>
      <c r="F22" s="424">
        <v>0</v>
      </c>
      <c r="G22" s="424">
        <f t="shared" si="0"/>
        <v>0.33333333333333331</v>
      </c>
      <c r="H22" s="424">
        <v>0.74305555555555558</v>
      </c>
      <c r="I22" s="425">
        <v>1</v>
      </c>
      <c r="J22" s="425">
        <f t="shared" si="1"/>
        <v>8.8333333333333339</v>
      </c>
      <c r="K22" s="425">
        <f t="shared" si="2"/>
        <v>0</v>
      </c>
      <c r="L22" s="426">
        <f>E22-B14</f>
        <v>0</v>
      </c>
      <c r="M22" s="423">
        <v>0</v>
      </c>
      <c r="N22" s="427">
        <f>IFERROR(J22*IF(AND(ISNUMBER(SEARCH(TEXT(C22,"ddd"),$G$11)),Data!$F$2),$G$14,$D$14)+K22*$G$14,"")</f>
        <v>838.19754807692311</v>
      </c>
      <c r="O22" s="141">
        <f t="shared" si="3"/>
        <v>838.19754807692311</v>
      </c>
      <c r="P22" s="163">
        <f>O21-O22</f>
        <v>15.815048076923176</v>
      </c>
      <c r="Q22" s="135"/>
      <c r="R22" s="96">
        <v>0.40486111111111101</v>
      </c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4"/>
    </row>
    <row r="23" spans="2:34">
      <c r="B23" s="432">
        <v>6</v>
      </c>
      <c r="C23" s="429">
        <f t="shared" si="4"/>
        <v>46282</v>
      </c>
      <c r="D23" s="430">
        <f t="shared" si="4"/>
        <v>46282</v>
      </c>
      <c r="E23" s="424">
        <v>0.33333333333333331</v>
      </c>
      <c r="F23" s="424">
        <v>0</v>
      </c>
      <c r="G23" s="424">
        <f t="shared" si="0"/>
        <v>0.33333333333333331</v>
      </c>
      <c r="H23" s="424">
        <v>0.75</v>
      </c>
      <c r="I23" s="425">
        <v>1</v>
      </c>
      <c r="J23" s="425">
        <f t="shared" si="1"/>
        <v>9</v>
      </c>
      <c r="K23" s="425">
        <v>0</v>
      </c>
      <c r="L23" s="426">
        <f>G23-B14</f>
        <v>0</v>
      </c>
      <c r="M23" s="423">
        <f>(D14/60)*0</f>
        <v>0</v>
      </c>
      <c r="N23" s="427">
        <f>IFERROR(J23*IF(AND(ISNUMBER(SEARCH(TEXT(C23,"ddd"),$G$11)),Data!$F$2),$G$14,$D$14)+K23*$G$14,"")</f>
        <v>854.01259615384618</v>
      </c>
      <c r="O23" s="141">
        <f t="shared" si="3"/>
        <v>854.01259615384618</v>
      </c>
      <c r="P23" s="150"/>
      <c r="Q23" s="89"/>
      <c r="R23" s="96">
        <v>1.0416666666666701E-2</v>
      </c>
    </row>
    <row r="24" spans="2:34">
      <c r="B24" s="432">
        <v>7</v>
      </c>
      <c r="C24" s="429">
        <f t="shared" si="4"/>
        <v>46283</v>
      </c>
      <c r="D24" s="430">
        <f t="shared" si="4"/>
        <v>46283</v>
      </c>
      <c r="E24" s="424">
        <v>0.33333333333333331</v>
      </c>
      <c r="F24" s="424">
        <v>0</v>
      </c>
      <c r="G24" s="424">
        <f t="shared" si="0"/>
        <v>0.33333333333333331</v>
      </c>
      <c r="H24" s="424">
        <v>0.75</v>
      </c>
      <c r="I24" s="425">
        <v>1</v>
      </c>
      <c r="J24" s="425">
        <f t="shared" si="1"/>
        <v>9</v>
      </c>
      <c r="K24" s="425">
        <f t="shared" si="2"/>
        <v>0</v>
      </c>
      <c r="L24" s="426">
        <f>E24-B14</f>
        <v>0</v>
      </c>
      <c r="M24" s="423">
        <f>(D14/60)*0</f>
        <v>0</v>
      </c>
      <c r="N24" s="427">
        <f>IFERROR(J24*IF(AND(ISNUMBER(SEARCH(TEXT(C24,"ddd"),$G$11)),Data!$F$2),$G$14,$D$14)+K24*$G$14,"")</f>
        <v>854.01259615384618</v>
      </c>
      <c r="O24" s="141">
        <f t="shared" si="3"/>
        <v>854.01259615384618</v>
      </c>
      <c r="P24" s="155"/>
      <c r="Q24" s="89"/>
      <c r="R24" s="129">
        <f>R22-R23</f>
        <v>0.39444444444444432</v>
      </c>
    </row>
    <row r="25" spans="2:34">
      <c r="B25" s="432">
        <v>8</v>
      </c>
      <c r="C25" s="429">
        <f t="shared" si="4"/>
        <v>46284</v>
      </c>
      <c r="D25" s="430">
        <f t="shared" si="4"/>
        <v>46284</v>
      </c>
      <c r="E25" s="424">
        <v>0</v>
      </c>
      <c r="F25" s="424">
        <v>0</v>
      </c>
      <c r="G25" s="424">
        <v>0</v>
      </c>
      <c r="H25" s="424">
        <v>0</v>
      </c>
      <c r="I25" s="425">
        <v>0</v>
      </c>
      <c r="J25" s="425">
        <f t="shared" si="1"/>
        <v>0</v>
      </c>
      <c r="K25" s="425">
        <f t="shared" si="2"/>
        <v>0</v>
      </c>
      <c r="L25" s="426">
        <v>0</v>
      </c>
      <c r="M25" s="423">
        <f>(D14/60)*540</f>
        <v>854.01259615384618</v>
      </c>
      <c r="N25" s="427">
        <f>IFERROR(J25*IF(AND(ISNUMBER(SEARCH(TEXT(C25,"ddd"),$G$11)),Data!$F$2),$G$14,$D$14)+K25*$G$14,"")</f>
        <v>0</v>
      </c>
      <c r="O25" s="141">
        <f t="shared" si="3"/>
        <v>854.01259615384618</v>
      </c>
      <c r="P25" s="89"/>
      <c r="Q25" s="89"/>
    </row>
    <row r="26" spans="2:34">
      <c r="B26" s="432"/>
      <c r="C26" s="429">
        <f t="shared" si="4"/>
        <v>46285</v>
      </c>
      <c r="D26" s="430">
        <f t="shared" si="4"/>
        <v>46285</v>
      </c>
      <c r="E26" s="424">
        <v>0</v>
      </c>
      <c r="F26" s="424">
        <v>0</v>
      </c>
      <c r="G26" s="424">
        <f t="shared" si="0"/>
        <v>0</v>
      </c>
      <c r="H26" s="424">
        <v>0</v>
      </c>
      <c r="I26" s="425">
        <v>0</v>
      </c>
      <c r="J26" s="425">
        <f t="shared" si="1"/>
        <v>0</v>
      </c>
      <c r="K26" s="425">
        <f t="shared" si="2"/>
        <v>0</v>
      </c>
      <c r="L26" s="97">
        <v>0</v>
      </c>
      <c r="M26" s="98">
        <f>(D14/60)*0</f>
        <v>0</v>
      </c>
      <c r="N26" s="251">
        <f>IFERROR(J26*IF(AND(ISNUMBER(SEARCH(TEXT(C26,"ddd"),$G$11)),Data!$F$2),$G$14,$D$14)+K26*$G$14,"")</f>
        <v>0</v>
      </c>
      <c r="O26" s="141">
        <f t="shared" si="3"/>
        <v>0</v>
      </c>
      <c r="P26" s="89"/>
      <c r="Q26" s="89"/>
    </row>
    <row r="27" spans="2:34">
      <c r="B27" s="432">
        <v>9</v>
      </c>
      <c r="C27" s="429">
        <f t="shared" si="4"/>
        <v>46286</v>
      </c>
      <c r="D27" s="430">
        <f t="shared" si="4"/>
        <v>46286</v>
      </c>
      <c r="E27" s="424">
        <v>0.33333333333333331</v>
      </c>
      <c r="F27" s="424">
        <v>0</v>
      </c>
      <c r="G27" s="424">
        <f t="shared" si="0"/>
        <v>0.33333333333333331</v>
      </c>
      <c r="H27" s="424">
        <v>0.75</v>
      </c>
      <c r="I27" s="425">
        <v>1</v>
      </c>
      <c r="J27" s="425">
        <f t="shared" si="1"/>
        <v>9</v>
      </c>
      <c r="K27" s="425">
        <f t="shared" si="2"/>
        <v>0</v>
      </c>
      <c r="L27" s="426">
        <v>0</v>
      </c>
      <c r="M27" s="423">
        <f>(D14/60)*0</f>
        <v>0</v>
      </c>
      <c r="N27" s="427">
        <f>IFERROR(J27*IF(AND(ISNUMBER(SEARCH(TEXT(C27,"ddd"),$G$11)),Data!$F$2),$G$14,$D$14)+K27*$G$14,"")</f>
        <v>854.01259615384618</v>
      </c>
      <c r="O27" s="141">
        <f t="shared" si="3"/>
        <v>854.01259615384618</v>
      </c>
      <c r="P27" s="127"/>
      <c r="Q27" s="89"/>
    </row>
    <row r="28" spans="2:34">
      <c r="B28" s="432">
        <v>10</v>
      </c>
      <c r="C28" s="429">
        <f t="shared" si="4"/>
        <v>46287</v>
      </c>
      <c r="D28" s="430">
        <f t="shared" si="4"/>
        <v>46287</v>
      </c>
      <c r="E28" s="424">
        <v>0.33333333333333331</v>
      </c>
      <c r="F28" s="424">
        <v>0</v>
      </c>
      <c r="G28" s="424">
        <f t="shared" si="0"/>
        <v>0.33333333333333331</v>
      </c>
      <c r="H28" s="424">
        <v>0.75</v>
      </c>
      <c r="I28" s="425">
        <v>1</v>
      </c>
      <c r="J28" s="425">
        <f t="shared" si="1"/>
        <v>9</v>
      </c>
      <c r="K28" s="425">
        <f t="shared" si="2"/>
        <v>0</v>
      </c>
      <c r="L28" s="426">
        <v>0</v>
      </c>
      <c r="M28" s="423">
        <f>(D14/60)*0</f>
        <v>0</v>
      </c>
      <c r="N28" s="427">
        <f>IFERROR(J28*IF(AND(ISNUMBER(SEARCH(TEXT(C28,"ddd"),$G$11)),Data!$F$2),$G$14,$D$14)+K28*$G$14,"")</f>
        <v>854.01259615384618</v>
      </c>
      <c r="O28" s="141">
        <f t="shared" si="3"/>
        <v>854.01259615384618</v>
      </c>
      <c r="Q28" s="89"/>
    </row>
    <row r="29" spans="2:34">
      <c r="B29" s="432">
        <v>11</v>
      </c>
      <c r="C29" s="429">
        <f t="shared" si="4"/>
        <v>46288</v>
      </c>
      <c r="D29" s="430">
        <f t="shared" si="4"/>
        <v>46288</v>
      </c>
      <c r="E29" s="424">
        <v>0.33541666666666664</v>
      </c>
      <c r="F29" s="424">
        <v>0</v>
      </c>
      <c r="G29" s="424">
        <f t="shared" si="0"/>
        <v>0.33541666666666664</v>
      </c>
      <c r="H29" s="424">
        <v>0.75</v>
      </c>
      <c r="I29" s="425">
        <v>1</v>
      </c>
      <c r="J29" s="425">
        <f t="shared" si="1"/>
        <v>8.9500000000000011</v>
      </c>
      <c r="K29" s="425">
        <f t="shared" si="2"/>
        <v>0</v>
      </c>
      <c r="L29" s="426">
        <f>E29-B14</f>
        <v>2.0833333333333259E-3</v>
      </c>
      <c r="M29" s="423">
        <f>(D14/60)*3</f>
        <v>4.7445144230769234</v>
      </c>
      <c r="N29" s="427">
        <f>IFERROR(J29*IF(AND(ISNUMBER(SEARCH(TEXT(C29,"ddd"),$G$11)),Data!$F$2),$G$14,$D$14)+K29*$G$14,"")</f>
        <v>849.26808173076938</v>
      </c>
      <c r="O29" s="141">
        <f>M29+N29</f>
        <v>854.01259615384629</v>
      </c>
      <c r="P29" s="95">
        <f>O28-O29</f>
        <v>0</v>
      </c>
      <c r="Q29" s="89"/>
    </row>
    <row r="30" spans="2:34">
      <c r="B30" s="432">
        <v>12</v>
      </c>
      <c r="C30" s="429">
        <f t="shared" si="4"/>
        <v>46289</v>
      </c>
      <c r="D30" s="430">
        <f t="shared" si="4"/>
        <v>46289</v>
      </c>
      <c r="E30" s="424">
        <v>0.33333333333333331</v>
      </c>
      <c r="F30" s="424">
        <v>0</v>
      </c>
      <c r="G30" s="424">
        <f>E30-F30</f>
        <v>0.33333333333333331</v>
      </c>
      <c r="H30" s="424">
        <v>0.75</v>
      </c>
      <c r="I30" s="425">
        <v>1</v>
      </c>
      <c r="J30" s="425">
        <f t="shared" si="1"/>
        <v>9</v>
      </c>
      <c r="K30" s="425">
        <v>2</v>
      </c>
      <c r="L30" s="426">
        <f>G30-B14</f>
        <v>0</v>
      </c>
      <c r="M30" s="423">
        <f>(D14/60)*0</f>
        <v>0</v>
      </c>
      <c r="N30" s="427">
        <f>IFERROR(J30*IF(AND(ISNUMBER(SEARCH(TEXT(C30,"ddd"),$G$11)),Data!$F$2),$G$14,$D$14)+K30*$G$14,"")</f>
        <v>1091.2383173076923</v>
      </c>
      <c r="O30" s="141">
        <f t="shared" si="3"/>
        <v>1091.2383173076923</v>
      </c>
      <c r="P30" s="127"/>
      <c r="Q30" s="89"/>
    </row>
    <row r="31" spans="2:34">
      <c r="B31" s="432">
        <v>13</v>
      </c>
      <c r="C31" s="429">
        <f>C30+1</f>
        <v>46290</v>
      </c>
      <c r="D31" s="430">
        <f t="shared" si="4"/>
        <v>46290</v>
      </c>
      <c r="E31" s="424">
        <v>0.33333333333333331</v>
      </c>
      <c r="F31" s="424">
        <v>0</v>
      </c>
      <c r="G31" s="424">
        <f>E31-F31</f>
        <v>0.33333333333333331</v>
      </c>
      <c r="H31" s="424">
        <v>0.75</v>
      </c>
      <c r="I31" s="425">
        <v>1</v>
      </c>
      <c r="J31" s="425">
        <f t="shared" si="1"/>
        <v>9</v>
      </c>
      <c r="K31" s="425">
        <v>4</v>
      </c>
      <c r="L31" s="426">
        <f>E31-B14</f>
        <v>0</v>
      </c>
      <c r="M31" s="423">
        <f>(D14/60)*0</f>
        <v>0</v>
      </c>
      <c r="N31" s="427">
        <f>IFERROR(J31*IF(AND(ISNUMBER(SEARCH(TEXT(C31,"ddd"),$G$11)),Data!$F$2),$G$14,$D$14)+K31*$G$14,"")</f>
        <v>1328.4640384615386</v>
      </c>
      <c r="O31" s="141">
        <f>M31+N31</f>
        <v>1328.4640384615386</v>
      </c>
      <c r="P31" s="95">
        <f>O28-O31</f>
        <v>-474.45144230769245</v>
      </c>
    </row>
    <row r="32" spans="2:34">
      <c r="B32" s="441"/>
      <c r="C32" s="442"/>
      <c r="D32" s="443"/>
      <c r="E32" s="444"/>
      <c r="F32" s="444"/>
      <c r="G32" s="593" t="s">
        <v>182</v>
      </c>
      <c r="H32" s="594"/>
      <c r="I32" s="445">
        <f>SUM(I17:I31)</f>
        <v>11</v>
      </c>
      <c r="J32" s="445">
        <f>SUM(J17:J31)</f>
        <v>101.73333333333333</v>
      </c>
      <c r="K32" s="445">
        <f>SUM(K17:K31)</f>
        <v>10</v>
      </c>
      <c r="L32" s="446">
        <f>SUM(L17:L31)</f>
        <v>4.1666666666666519E-3</v>
      </c>
      <c r="M32" s="447">
        <f>SUM(M17:M31)</f>
        <v>863.50162499999999</v>
      </c>
      <c r="N32" s="441"/>
      <c r="O32" s="165">
        <f>SUM(O17:O31)</f>
        <v>11703.135576923079</v>
      </c>
      <c r="P32" s="165">
        <f>SUM(P17:P31)</f>
        <v>-458.63639423076927</v>
      </c>
      <c r="Q32" s="95">
        <f>O32+P32</f>
        <v>11244.499182692311</v>
      </c>
    </row>
    <row r="33" spans="2:17">
      <c r="B33" s="441"/>
      <c r="C33" s="442"/>
      <c r="D33" s="443"/>
      <c r="E33" s="444"/>
      <c r="F33" s="444"/>
      <c r="G33" s="459" t="s">
        <v>39</v>
      </c>
      <c r="H33" s="460"/>
      <c r="I33" s="461"/>
      <c r="J33" s="462"/>
      <c r="K33" s="463"/>
      <c r="L33" s="471">
        <f>(D14/60)*0</f>
        <v>0</v>
      </c>
      <c r="M33" s="465"/>
      <c r="N33" s="466">
        <f>D14*H14</f>
        <v>9963.4802884615383</v>
      </c>
      <c r="O33" s="95"/>
      <c r="P33" s="95"/>
      <c r="Q33" s="95"/>
    </row>
    <row r="34" spans="2:17">
      <c r="B34" s="65"/>
      <c r="C34" s="65"/>
      <c r="D34" s="85"/>
      <c r="E34" s="85"/>
      <c r="F34" s="85"/>
      <c r="G34" s="592" t="s">
        <v>183</v>
      </c>
      <c r="H34" s="592"/>
      <c r="I34" s="80"/>
      <c r="J34" s="80">
        <f>H14-J32</f>
        <v>3.2666666666666657</v>
      </c>
      <c r="K34" s="65"/>
      <c r="L34" s="330">
        <f>(D15/60)*281</f>
        <v>0</v>
      </c>
      <c r="M34" s="65"/>
      <c r="N34" s="121">
        <f>M32</f>
        <v>863.50162499999999</v>
      </c>
      <c r="O34" s="151">
        <f>O32-O33</f>
        <v>11703.135576923079</v>
      </c>
      <c r="P34" s="95"/>
      <c r="Q34" s="95"/>
    </row>
    <row r="35" spans="2:17">
      <c r="B35" s="65"/>
      <c r="C35" s="65"/>
      <c r="D35" s="85"/>
      <c r="E35" s="145"/>
      <c r="F35" s="145"/>
      <c r="G35" s="78" t="s">
        <v>41</v>
      </c>
      <c r="H35" s="79"/>
      <c r="I35" s="66"/>
      <c r="J35" s="66"/>
      <c r="K35" s="80"/>
      <c r="L35" s="80"/>
      <c r="M35" s="80"/>
      <c r="N35" s="121">
        <f>N33-N34</f>
        <v>9099.9786634615375</v>
      </c>
      <c r="O35" s="95"/>
      <c r="P35" s="95"/>
      <c r="Q35" s="95"/>
    </row>
    <row r="36" spans="2:17">
      <c r="B36" s="65"/>
      <c r="C36" s="65"/>
      <c r="D36" s="85"/>
      <c r="E36" s="146"/>
      <c r="F36" s="146"/>
      <c r="G36" s="604" t="s">
        <v>184</v>
      </c>
      <c r="H36" s="605"/>
      <c r="I36" s="80"/>
      <c r="J36" s="401"/>
      <c r="K36" s="122"/>
      <c r="L36" s="122"/>
      <c r="M36" s="122"/>
      <c r="N36" s="123">
        <f>(G14*K32)</f>
        <v>1186.1286057692309</v>
      </c>
      <c r="O36" s="95"/>
    </row>
    <row r="37" spans="2:17">
      <c r="B37" s="65"/>
      <c r="C37" s="65"/>
      <c r="D37" s="85"/>
      <c r="E37" s="146"/>
      <c r="F37" s="146"/>
      <c r="G37" s="86" t="s">
        <v>185</v>
      </c>
      <c r="H37" s="87"/>
      <c r="I37" s="80"/>
      <c r="J37" s="66"/>
      <c r="K37" s="122"/>
      <c r="L37" s="122"/>
      <c r="M37" s="122"/>
      <c r="N37" s="123">
        <v>0</v>
      </c>
      <c r="O37" s="95"/>
    </row>
    <row r="38" spans="2:17">
      <c r="B38" s="65"/>
      <c r="C38" s="65"/>
      <c r="D38" s="85"/>
      <c r="E38" s="145"/>
      <c r="F38" s="145"/>
      <c r="G38" s="597" t="s">
        <v>186</v>
      </c>
      <c r="H38" s="598"/>
      <c r="I38" s="66"/>
      <c r="J38" s="66"/>
      <c r="K38" s="66"/>
      <c r="L38" s="66"/>
      <c r="M38" s="66"/>
      <c r="N38" s="124">
        <f>N35+N36+N37</f>
        <v>10286.107269230768</v>
      </c>
      <c r="O38" s="95"/>
    </row>
    <row r="39" spans="2:17">
      <c r="D39" s="88"/>
      <c r="E39" s="88"/>
      <c r="F39" s="88"/>
      <c r="G39" s="589"/>
      <c r="H39" s="589"/>
      <c r="I39" s="90"/>
      <c r="J39" s="90"/>
      <c r="K39" s="125"/>
      <c r="L39" s="125"/>
      <c r="M39" s="125"/>
      <c r="N39" s="126"/>
      <c r="O39" s="127"/>
    </row>
    <row r="40" spans="2:17">
      <c r="D40" s="91"/>
      <c r="E40" s="91"/>
      <c r="F40" s="91"/>
      <c r="M40" t="s">
        <v>196</v>
      </c>
    </row>
    <row r="41" spans="2:17">
      <c r="B41" s="590" t="s">
        <v>187</v>
      </c>
      <c r="C41" s="590"/>
      <c r="D41" s="590"/>
      <c r="E41" s="590"/>
      <c r="F41" s="590"/>
      <c r="G41" s="590"/>
      <c r="H41" s="590"/>
      <c r="I41" s="590"/>
      <c r="J41" s="590"/>
      <c r="K41" s="590"/>
      <c r="L41" s="590"/>
      <c r="M41" s="590"/>
      <c r="N41" s="590"/>
    </row>
    <row r="42" spans="2:17">
      <c r="D42" s="91"/>
      <c r="E42" s="91"/>
      <c r="F42" s="91"/>
    </row>
    <row r="43" spans="2:17">
      <c r="D43" s="91" t="s">
        <v>188</v>
      </c>
      <c r="E43" s="91"/>
      <c r="F43" s="91"/>
      <c r="N43" s="95"/>
    </row>
    <row r="44" spans="2:17">
      <c r="D44" s="54" t="s">
        <v>10</v>
      </c>
      <c r="E44" s="54"/>
      <c r="F44" s="54"/>
      <c r="G44" s="54" t="s">
        <v>11</v>
      </c>
      <c r="H44" s="54" t="s">
        <v>12</v>
      </c>
      <c r="I44" s="55" t="s">
        <v>13</v>
      </c>
    </row>
    <row r="45" spans="2:17">
      <c r="D45" s="56">
        <v>2026</v>
      </c>
      <c r="E45" s="56"/>
      <c r="F45" s="56"/>
      <c r="G45" s="56" t="s">
        <v>264</v>
      </c>
      <c r="H45" s="56">
        <v>20</v>
      </c>
      <c r="I45" s="56" t="s">
        <v>15</v>
      </c>
    </row>
    <row r="46" spans="2:17">
      <c r="D46" s="57"/>
      <c r="E46" s="57"/>
      <c r="F46" s="57"/>
      <c r="G46" s="57"/>
    </row>
    <row r="47" spans="2:17" ht="33.75">
      <c r="D47" s="159" t="s">
        <v>16</v>
      </c>
      <c r="E47" s="159"/>
      <c r="F47" s="159"/>
      <c r="G47" s="159" t="s">
        <v>17</v>
      </c>
      <c r="H47" s="159" t="s">
        <v>18</v>
      </c>
      <c r="I47" s="159" t="s">
        <v>19</v>
      </c>
    </row>
    <row r="48" spans="2:17">
      <c r="D48" s="61">
        <v>0.29166666666666669</v>
      </c>
      <c r="E48" s="61"/>
      <c r="F48" s="61"/>
      <c r="G48" s="62">
        <v>14</v>
      </c>
      <c r="H48" s="63">
        <f>D14</f>
        <v>94.890288461538461</v>
      </c>
      <c r="I48" s="130">
        <f>(H48*30%)+H48</f>
        <v>123.35737499999999</v>
      </c>
    </row>
    <row r="50" spans="3:14">
      <c r="C50" s="131" t="s">
        <v>20</v>
      </c>
      <c r="D50" s="131" t="s">
        <v>12</v>
      </c>
      <c r="E50" s="131"/>
      <c r="F50" s="131"/>
      <c r="G50" s="131" t="s">
        <v>21</v>
      </c>
      <c r="H50" s="131" t="s">
        <v>22</v>
      </c>
      <c r="I50" s="131" t="s">
        <v>23</v>
      </c>
      <c r="J50" s="131" t="s">
        <v>24</v>
      </c>
      <c r="K50" s="131" t="s">
        <v>25</v>
      </c>
      <c r="L50" s="131"/>
      <c r="M50" s="131"/>
      <c r="N50" s="131" t="s">
        <v>26</v>
      </c>
    </row>
    <row r="51" spans="3:14">
      <c r="C51" s="70" t="s">
        <v>353</v>
      </c>
      <c r="D51" s="71">
        <v>46101</v>
      </c>
      <c r="E51" s="71"/>
      <c r="F51" s="71"/>
      <c r="G51" s="72">
        <v>0.33333333333333331</v>
      </c>
      <c r="H51" s="72">
        <v>0.75</v>
      </c>
      <c r="I51" s="73">
        <v>1</v>
      </c>
      <c r="J51" s="73">
        <f>IFERROR(IF(AND(G51&lt;&gt;"",H51&lt;&gt;""),IF(G51&gt;$B$14+TIME($C$14,($C$14-INT($C$14))*60,0),0,IF(H51&gt;$B$14+TIME($C$14,($C$14-INT($C$14))*60,0),MIN(TIME($C$14,($C$14-INT($C$14))*60,0),($B$14+TIME($C$14,($C$14-INT($C$14))*60,0)-G51)),MIN(IF((H51-$B$14)&lt;0,0,(H51-$B$14)),(H51-G51))))*24,"")-I51,"")</f>
        <v>9</v>
      </c>
      <c r="K51" s="73">
        <f>IF(AND(G51&lt;&gt;"",H51&lt;&gt;""),((IF(G51&lt;$D$48,MIN($D$48-G51,H51-G51),0)+IF(H51&gt;$D$48+TIME($G$48,($G$48-INT($G$48))*60,0),MIN((H51-$D$48-TIME($G$48,($G$48-INT($G$48))*60,0)),(H51-G51)),0))*24),"")</f>
        <v>0</v>
      </c>
      <c r="L51" s="73"/>
      <c r="M51" s="73"/>
      <c r="N51" s="99">
        <f>(J51*H48)+854.01*30%</f>
        <v>1110.215596153846</v>
      </c>
    </row>
    <row r="52" spans="3:14">
      <c r="C52" s="70" t="s">
        <v>445</v>
      </c>
      <c r="D52" s="71">
        <v>23</v>
      </c>
      <c r="E52" s="71"/>
      <c r="F52" s="71"/>
      <c r="G52" s="72">
        <v>0</v>
      </c>
      <c r="H52" s="72">
        <v>0</v>
      </c>
      <c r="I52" s="73">
        <v>0</v>
      </c>
      <c r="J52" s="73">
        <f>IFERROR(IF(AND(G52&lt;&gt;"",H52&lt;&gt;""),IF(G52&gt;$B$14+TIME($C$14,($C$14-INT($C$14))*60,0),0,IF(H52&gt;$B$14+TIME($C$14,($C$14-INT($C$14))*60,0),MIN(TIME($C$14,($C$14-INT($C$14))*60,0),($B$14+TIME($C$14,($C$14-INT($C$14))*60,0)-G52)),MIN(IF((H52-$B$14)&lt;0,0,(H52-$B$14)),(H52-G52))))*24,"")-I52,"")</f>
        <v>0</v>
      </c>
      <c r="K52" s="73">
        <f>IF(AND(G52&lt;&gt;"",H52&lt;&gt;""),((IF(G52&lt;$D$48,MIN($D$48-G52,H52-G52),0)+IF(H52&gt;$D$48+TIME($G$48,($G$48-INT($G$48))*60,0),MIN((H52-$D$48-TIME($G$48,($G$48-INT($G$48))*60,0)),(H52-G52)),0))*24),"")</f>
        <v>0</v>
      </c>
      <c r="L52" s="73"/>
      <c r="M52" s="73"/>
      <c r="N52" s="99">
        <v>0</v>
      </c>
    </row>
    <row r="53" spans="3:14"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318">
        <f>SUM(N51:N52)</f>
        <v>1110.215596153846</v>
      </c>
    </row>
    <row r="54" spans="3:14" ht="12" customHeight="1">
      <c r="N54" s="138"/>
    </row>
    <row r="55" spans="3:14">
      <c r="N55" s="138"/>
    </row>
    <row r="56" spans="3:14">
      <c r="D56" s="591">
        <v>46255</v>
      </c>
      <c r="E56" s="591"/>
      <c r="F56" s="591"/>
      <c r="G56" s="88">
        <v>854.01</v>
      </c>
      <c r="H56" s="148" t="s">
        <v>280</v>
      </c>
      <c r="I56" s="254"/>
      <c r="N56" s="138"/>
    </row>
    <row r="57" spans="3:14">
      <c r="E57" s="88"/>
      <c r="F57" s="88"/>
      <c r="G57" s="88">
        <f>G56*H57</f>
        <v>256.20299999999997</v>
      </c>
      <c r="H57" s="253">
        <v>0.3</v>
      </c>
      <c r="I57" s="254"/>
      <c r="N57" s="138"/>
    </row>
    <row r="58" spans="3:14">
      <c r="E58" s="91"/>
      <c r="F58" s="91"/>
      <c r="G58" s="91"/>
      <c r="N58" s="138"/>
    </row>
    <row r="59" spans="3:14">
      <c r="E59" s="91"/>
      <c r="F59" s="91"/>
      <c r="G59" s="91"/>
      <c r="H59" s="91">
        <f>G57</f>
        <v>256.20299999999997</v>
      </c>
      <c r="N59" s="138"/>
    </row>
    <row r="60" spans="3:14">
      <c r="D60" s="132"/>
      <c r="E60" s="132"/>
      <c r="F60" s="132"/>
      <c r="G60" s="133"/>
      <c r="H60" s="133"/>
      <c r="I60" s="133"/>
      <c r="N60" s="138"/>
    </row>
    <row r="61" spans="3:14">
      <c r="D61" s="132"/>
      <c r="E61" s="132"/>
      <c r="F61" s="132"/>
      <c r="G61" s="133"/>
      <c r="H61" s="133"/>
      <c r="I61" s="133"/>
      <c r="N61" s="138"/>
    </row>
    <row r="62" spans="3:14">
      <c r="D62" s="132"/>
      <c r="E62" s="132"/>
      <c r="F62" s="132"/>
      <c r="G62" s="133"/>
      <c r="H62" s="133"/>
      <c r="I62" s="133"/>
    </row>
    <row r="63" spans="3:14">
      <c r="D63" s="132"/>
      <c r="E63" s="132"/>
      <c r="F63" s="132"/>
      <c r="G63" s="133"/>
      <c r="H63" s="133"/>
      <c r="I63" s="133"/>
    </row>
    <row r="64" spans="3:14">
      <c r="F64" s="132"/>
      <c r="G64" s="133"/>
      <c r="H64" s="133"/>
      <c r="I64" s="133"/>
    </row>
    <row r="67" spans="3:3">
      <c r="C67" s="91" t="s">
        <v>141</v>
      </c>
    </row>
    <row r="68" spans="3:3">
      <c r="C68" t="s">
        <v>66</v>
      </c>
    </row>
    <row r="69" spans="3:3">
      <c r="C69" s="91"/>
    </row>
  </sheetData>
  <mergeCells count="12">
    <mergeCell ref="G32:H32"/>
    <mergeCell ref="A6:N6"/>
    <mergeCell ref="C7:D7"/>
    <mergeCell ref="M7:O7"/>
    <mergeCell ref="C8:D8"/>
    <mergeCell ref="M8:O8"/>
    <mergeCell ref="D56:F56"/>
    <mergeCell ref="G34:H34"/>
    <mergeCell ref="G36:H36"/>
    <mergeCell ref="G38:H38"/>
    <mergeCell ref="G39:H39"/>
    <mergeCell ref="B41:N41"/>
  </mergeCells>
  <conditionalFormatting sqref="C17:D17 N17:N31">
    <cfRule type="expression" dxfId="270" priority="109">
      <formula>ISNUMBER(SEARCH(TEXT($C17,"ddd"),$G$10))</formula>
    </cfRule>
  </conditionalFormatting>
  <conditionalFormatting sqref="C18:D31">
    <cfRule type="expression" dxfId="269" priority="113">
      <formula>ISNUMBER(SEARCH(TEXT($C18,"ddd"),$G$11))</formula>
    </cfRule>
  </conditionalFormatting>
  <conditionalFormatting sqref="C51:N52">
    <cfRule type="expression" dxfId="268" priority="11">
      <formula>ISNUMBER(SEARCH(TEXT($C51,"ddd"),$G$11))</formula>
    </cfRule>
  </conditionalFormatting>
  <conditionalFormatting sqref="E17:F31">
    <cfRule type="expression" dxfId="267" priority="17">
      <formula>ISNUMBER(SEARCH(TEXT($C17,"ddd"),$G$11))</formula>
    </cfRule>
  </conditionalFormatting>
  <conditionalFormatting sqref="G17:G18 G20 G22:G25">
    <cfRule type="expression" dxfId="266" priority="96">
      <formula>ISNUMBER(SEARCH(TEXT($C17,"ddd"),$G$10))</formula>
    </cfRule>
  </conditionalFormatting>
  <conditionalFormatting sqref="G21">
    <cfRule type="expression" dxfId="265" priority="95">
      <formula>ISNUMBER(SEARCH(TEXT($C21,"ddd"),$G$11))</formula>
    </cfRule>
  </conditionalFormatting>
  <conditionalFormatting sqref="G26:G31">
    <cfRule type="expression" dxfId="264" priority="42">
      <formula>ISNUMBER(SEARCH(TEXT($C26,"ddd"),$G$11))</formula>
    </cfRule>
  </conditionalFormatting>
  <conditionalFormatting sqref="G19:K19">
    <cfRule type="expression" dxfId="263" priority="8">
      <formula>ISNUMBER(SEARCH(TEXT($C19,"ddd"),$G$11))</formula>
    </cfRule>
  </conditionalFormatting>
  <conditionalFormatting sqref="H17:K18">
    <cfRule type="expression" dxfId="262" priority="2">
      <formula>ISNUMBER(SEARCH(TEXT($C17,"ddd"),$G$11))</formula>
    </cfRule>
  </conditionalFormatting>
  <conditionalFormatting sqref="H20:K31">
    <cfRule type="expression" dxfId="261" priority="3">
      <formula>ISNUMBER(SEARCH(TEXT($C20,"ddd"),$G$11))</formula>
    </cfRule>
  </conditionalFormatting>
  <dataValidations count="5">
    <dataValidation type="list" allowBlank="1" showInputMessage="1" showErrorMessage="1" sqref="D11 H45" xr:uid="{00000000-0002-0000-1000-000000000000}">
      <formula1>DateCalc</formula1>
    </dataValidation>
    <dataValidation type="custom" allowBlank="1" showInputMessage="1" showErrorMessage="1" sqref="H51:H52 H17:H31" xr:uid="{00000000-0002-0000-1000-000001000000}">
      <formula1>AND($H17&lt;=1,ISNUMBER($H17),($H17&gt;=$G17))</formula1>
    </dataValidation>
    <dataValidation type="custom" allowBlank="1" showInputMessage="1" showErrorMessage="1" sqref="G51:G52 E17:G31" xr:uid="{00000000-0002-0000-1000-000002000000}">
      <formula1>AND($G17&lt;=1,ISNUMBER($G17))</formula1>
    </dataValidation>
    <dataValidation type="list" allowBlank="1" showInputMessage="1" showErrorMessage="1" sqref="E11:F11" xr:uid="{00000000-0002-0000-1000-000003000000}">
      <formula1>MALAZARTE!DateCalc</formula1>
    </dataValidation>
    <dataValidation type="list" allowBlank="1" showInputMessage="1" showErrorMessage="1" sqref="G11" xr:uid="{00000000-0002-0000-1000-000006000000}"/>
  </dataValidations>
  <pageMargins left="0.30333333333333334" right="0.25" top="0.25593749999999998" bottom="0.22750000000000001" header="0.29861111111111099" footer="0.29861111111111099"/>
  <pageSetup paperSize="9" scale="91" orientation="landscape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62145" r:id="rId4" name="Check Box 1">
              <controlPr defaultSize="0" print="0" autoPict="0">
                <anchor moveWithCells="1">
                  <from>
                    <xdr:col>7</xdr:col>
                    <xdr:colOff>180975</xdr:colOff>
                    <xdr:row>9</xdr:row>
                    <xdr:rowOff>28575</xdr:rowOff>
                  </from>
                  <to>
                    <xdr:col>8</xdr:col>
                    <xdr:colOff>571500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1000-000004000000}">
          <x14:formula1>
            <xm:f>Data!$A$2:$A$12</xm:f>
          </x14:formula1>
          <xm:sqref>E45:F45</xm:sqref>
        </x14:dataValidation>
        <x14:dataValidation type="list" allowBlank="1" showInputMessage="1" showErrorMessage="1" xr:uid="{00000000-0002-0000-1000-000005000000}">
          <x14:formula1>
            <xm:f>Data!$B$2:$B$13</xm:f>
          </x14:formula1>
          <xm:sqref>C11 G45</xm:sqref>
        </x14:dataValidation>
        <x14:dataValidation type="list" allowBlank="1" showInputMessage="1" showErrorMessage="1" xr:uid="{00000000-0002-0000-1000-000007000000}">
          <x14:formula1>
            <xm:f>Data!$D$2:$D$16</xm:f>
          </x14:formula1>
          <xm:sqref>I45</xm:sqref>
        </x14:dataValidation>
        <x14:dataValidation type="list" allowBlank="1" showInputMessage="1" showErrorMessage="1" xr:uid="{00000000-0002-0000-1000-000008000000}">
          <x14:formula1>
            <xm:f>Data!$A$2:$A$15</xm:f>
          </x14:formula1>
          <xm:sqref>B11 D45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5:AH72"/>
  <sheetViews>
    <sheetView showGridLines="0" showWhiteSpace="0" view="pageLayout" topLeftCell="A7" zoomScale="140" zoomScaleNormal="100" zoomScalePageLayoutView="140" workbookViewId="0">
      <selection activeCell="L37" sqref="L37"/>
    </sheetView>
  </sheetViews>
  <sheetFormatPr defaultColWidth="9" defaultRowHeight="12.75"/>
  <cols>
    <col min="1" max="1" width="1.625" customWidth="1"/>
    <col min="2" max="2" width="5.375" customWidth="1"/>
    <col min="3" max="3" width="7.125" customWidth="1"/>
    <col min="4" max="6" width="7.625" customWidth="1"/>
    <col min="7" max="7" width="10.125" customWidth="1"/>
    <col min="8" max="8" width="9.625" customWidth="1"/>
    <col min="9" max="9" width="8.125" customWidth="1"/>
    <col min="10" max="10" width="10.125" customWidth="1"/>
    <col min="11" max="11" width="7.875" customWidth="1"/>
    <col min="12" max="12" width="11.5" customWidth="1"/>
    <col min="13" max="13" width="10.625" customWidth="1"/>
    <col min="14" max="14" width="12.125" customWidth="1"/>
    <col min="15" max="15" width="16.875" customWidth="1"/>
    <col min="16" max="17" width="9.875"/>
    <col min="18" max="18" width="11.125" customWidth="1"/>
  </cols>
  <sheetData>
    <row r="5" spans="1:21" ht="25.5" customHeight="1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21" s="47" customFormat="1" ht="25.5" customHeight="1">
      <c r="A6" s="603"/>
      <c r="B6" s="603"/>
      <c r="C6" s="603"/>
      <c r="D6" s="603"/>
      <c r="E6" s="603"/>
      <c r="F6" s="603"/>
      <c r="G6" s="603"/>
      <c r="H6" s="603"/>
      <c r="I6" s="603"/>
      <c r="J6" s="603"/>
      <c r="K6" s="603"/>
      <c r="L6" s="603"/>
      <c r="M6" s="603"/>
      <c r="N6" s="603"/>
    </row>
    <row r="7" spans="1:21" ht="18.75" customHeight="1">
      <c r="C7" s="527" t="s">
        <v>3</v>
      </c>
      <c r="D7" s="527"/>
      <c r="E7" s="49"/>
      <c r="F7" s="49"/>
      <c r="G7" s="158" t="s">
        <v>173</v>
      </c>
      <c r="H7" s="51"/>
      <c r="K7" s="49" t="s">
        <v>174</v>
      </c>
      <c r="M7" s="599" t="str">
        <f>PAALAN!L7</f>
        <v>September  11-25, 2026</v>
      </c>
      <c r="N7" s="599"/>
      <c r="O7" s="599"/>
    </row>
    <row r="8" spans="1:21" ht="18.75" customHeight="1">
      <c r="C8" s="527" t="s">
        <v>175</v>
      </c>
      <c r="D8" s="527"/>
      <c r="E8" s="49"/>
      <c r="F8" s="49"/>
      <c r="G8" s="50" t="s">
        <v>172</v>
      </c>
      <c r="H8" s="51"/>
      <c r="K8" s="49" t="s">
        <v>176</v>
      </c>
      <c r="L8" s="92"/>
      <c r="M8" s="600" t="str">
        <f>PAALAN!L8</f>
        <v>9/31/2026</v>
      </c>
      <c r="N8" s="600"/>
      <c r="O8" s="600"/>
    </row>
    <row r="9" spans="1:21">
      <c r="C9" s="52"/>
      <c r="D9" s="53"/>
      <c r="E9" s="53"/>
      <c r="F9" s="53"/>
      <c r="G9" s="53"/>
    </row>
    <row r="10" spans="1:21">
      <c r="B10" s="54" t="s">
        <v>10</v>
      </c>
      <c r="C10" s="54" t="s">
        <v>11</v>
      </c>
      <c r="D10" s="54" t="s">
        <v>12</v>
      </c>
      <c r="E10" s="54"/>
      <c r="F10" s="54"/>
      <c r="G10" s="55" t="s">
        <v>13</v>
      </c>
    </row>
    <row r="11" spans="1:21">
      <c r="B11" s="56">
        <v>2026</v>
      </c>
      <c r="C11" s="56" t="s">
        <v>177</v>
      </c>
      <c r="D11" s="56">
        <v>11</v>
      </c>
      <c r="E11" s="56"/>
      <c r="F11" s="56"/>
      <c r="G11" s="56" t="s">
        <v>178</v>
      </c>
    </row>
    <row r="12" spans="1:21">
      <c r="B12" s="57"/>
      <c r="C12" s="57"/>
      <c r="H12" s="57"/>
      <c r="K12" s="57"/>
      <c r="L12" s="57"/>
      <c r="M12" s="57"/>
    </row>
    <row r="13" spans="1:21" ht="32.1" customHeight="1">
      <c r="B13" s="159" t="s">
        <v>16</v>
      </c>
      <c r="C13" s="159" t="s">
        <v>17</v>
      </c>
      <c r="D13" s="159" t="s">
        <v>18</v>
      </c>
      <c r="E13" s="160"/>
      <c r="F13" s="160"/>
      <c r="G13" s="160" t="s">
        <v>19</v>
      </c>
      <c r="H13" s="161" t="s">
        <v>179</v>
      </c>
      <c r="L13" s="93"/>
      <c r="M13" s="93"/>
      <c r="N13" s="94"/>
      <c r="O13" s="159" t="s">
        <v>16</v>
      </c>
      <c r="P13" s="159" t="s">
        <v>17</v>
      </c>
      <c r="Q13" s="159" t="s">
        <v>18</v>
      </c>
      <c r="R13" s="160"/>
      <c r="S13" s="160"/>
      <c r="T13" s="160" t="s">
        <v>19</v>
      </c>
      <c r="U13" s="161" t="s">
        <v>179</v>
      </c>
    </row>
    <row r="14" spans="1:21">
      <c r="B14" s="61">
        <v>0.33333333333333331</v>
      </c>
      <c r="C14" s="62">
        <v>10</v>
      </c>
      <c r="D14" s="63">
        <f>(17158.67/26)/8</f>
        <v>82.493605769230754</v>
      </c>
      <c r="E14" s="142"/>
      <c r="F14" s="142"/>
      <c r="G14" s="64">
        <f>(D14*25%)+D14</f>
        <v>103.11700721153844</v>
      </c>
      <c r="H14" s="65">
        <v>105</v>
      </c>
      <c r="I14" s="95"/>
      <c r="L14" s="57"/>
      <c r="M14" s="57"/>
      <c r="N14" s="95"/>
      <c r="O14" s="61">
        <v>0.375</v>
      </c>
      <c r="P14" s="62">
        <v>3</v>
      </c>
      <c r="Q14" s="63">
        <f>(13040/26)/8</f>
        <v>62.692307692307693</v>
      </c>
      <c r="R14" s="142"/>
      <c r="S14" s="142"/>
      <c r="T14" s="64">
        <f>(Q14*25%)+Q14</f>
        <v>78.365384615384613</v>
      </c>
      <c r="U14" s="65">
        <v>105</v>
      </c>
    </row>
    <row r="15" spans="1:21">
      <c r="N15" s="96"/>
    </row>
    <row r="16" spans="1:21" ht="23.25">
      <c r="B16" s="66"/>
      <c r="C16" s="67" t="s">
        <v>20</v>
      </c>
      <c r="D16" s="67" t="s">
        <v>12</v>
      </c>
      <c r="E16" s="67"/>
      <c r="F16" s="67"/>
      <c r="G16" s="67" t="s">
        <v>21</v>
      </c>
      <c r="H16" s="67" t="s">
        <v>22</v>
      </c>
      <c r="I16" s="68" t="s">
        <v>23</v>
      </c>
      <c r="J16" s="68" t="s">
        <v>24</v>
      </c>
      <c r="K16" s="68" t="s">
        <v>25</v>
      </c>
      <c r="L16" s="67" t="s">
        <v>180</v>
      </c>
      <c r="M16" s="134" t="s">
        <v>181</v>
      </c>
      <c r="N16" s="67" t="s">
        <v>26</v>
      </c>
    </row>
    <row r="17" spans="2:34">
      <c r="B17" s="432">
        <v>1</v>
      </c>
      <c r="C17" s="429">
        <f>DATE($B$11,MATCH($C$11,Data!$B$2:$B$13,0),PAREDES!$D$11)</f>
        <v>46276</v>
      </c>
      <c r="D17" s="430">
        <f>DATE($B$11,MATCH($C$11,Data!$B$2:$B$13,0),PAREDES!$D$11)</f>
        <v>46276</v>
      </c>
      <c r="E17" s="424">
        <v>0.34513888888888888</v>
      </c>
      <c r="F17" s="424">
        <v>0</v>
      </c>
      <c r="G17" s="424">
        <f t="shared" ref="G17:G27" si="0">E17-F17</f>
        <v>0.34513888888888888</v>
      </c>
      <c r="H17" s="424">
        <v>0.75</v>
      </c>
      <c r="I17" s="425">
        <v>1</v>
      </c>
      <c r="J17" s="425">
        <f t="shared" ref="J17:J27" si="1">IFERROR(IF(AND(G17&lt;&gt;"",H17&lt;&gt;""),IF(G17&gt;$B$14+TIME($C$14,($C$14-INT($C$14))*60,0),0,IF(H17&gt;$B$14+TIME($C$14,($C$14-INT($C$14))*60,0),MIN(TIME($C$14,($C$14-INT($C$14))*60,0),($B$14+TIME($C$14,($C$14-INT($C$14))*60,0)-G17)),MIN(IF((H17-$B$14)&lt;0,0,(H17-$B$14)),(H17-G17))))*24,"")-I17,"")</f>
        <v>8.7166666666666668</v>
      </c>
      <c r="K17" s="425">
        <v>0</v>
      </c>
      <c r="L17" s="426">
        <f>E17-B14</f>
        <v>1.1805555555555569E-2</v>
      </c>
      <c r="M17" s="423">
        <f>(D14/60)*17</f>
        <v>23.373188301282049</v>
      </c>
      <c r="N17" s="427">
        <f>IFERROR(J17*IF(AND(ISNUMBER(SEARCH(TEXT(C17,"ddd"),$G$11)),Data!$F$2),$G$14,$D$14)+K17*$G$14,"")</f>
        <v>719.06926362179479</v>
      </c>
      <c r="O17" s="141">
        <f t="shared" ref="O17:O31" si="2">M17+N17</f>
        <v>742.44245192307687</v>
      </c>
      <c r="P17" s="100"/>
      <c r="Q17" s="89"/>
    </row>
    <row r="18" spans="2:34">
      <c r="B18" s="432">
        <v>2</v>
      </c>
      <c r="C18" s="429">
        <f t="shared" ref="C18:C31" si="3">C17+1</f>
        <v>46277</v>
      </c>
      <c r="D18" s="430">
        <f t="shared" ref="D18:D31" si="4">D17+1</f>
        <v>46277</v>
      </c>
      <c r="E18" s="424">
        <v>0.375</v>
      </c>
      <c r="F18" s="424">
        <v>0</v>
      </c>
      <c r="G18" s="424">
        <f t="shared" si="0"/>
        <v>0.375</v>
      </c>
      <c r="H18" s="424">
        <v>0.5</v>
      </c>
      <c r="I18" s="425">
        <v>0</v>
      </c>
      <c r="J18" s="425">
        <f t="shared" si="1"/>
        <v>3</v>
      </c>
      <c r="K18" s="425">
        <v>4</v>
      </c>
      <c r="L18" s="426">
        <f>E18-B14</f>
        <v>4.1666666666666685E-2</v>
      </c>
      <c r="M18" s="423">
        <f>(D14/60)*0</f>
        <v>0</v>
      </c>
      <c r="N18" s="427">
        <f>IFERROR(J18*IF(AND(ISNUMBER(SEARCH(TEXT(C18,"ddd"),$G$11)),Data!$F$2),$G$14,$D$14)+K18*$G$14,"")</f>
        <v>659.94884615384603</v>
      </c>
      <c r="O18" s="141"/>
      <c r="P18" s="89"/>
      <c r="Q18" s="89"/>
    </row>
    <row r="19" spans="2:34">
      <c r="B19" s="432"/>
      <c r="C19" s="429">
        <f t="shared" si="3"/>
        <v>46278</v>
      </c>
      <c r="D19" s="430">
        <f t="shared" si="4"/>
        <v>46278</v>
      </c>
      <c r="E19" s="424">
        <v>0</v>
      </c>
      <c r="F19" s="424">
        <v>0</v>
      </c>
      <c r="G19" s="424">
        <f t="shared" si="0"/>
        <v>0</v>
      </c>
      <c r="H19" s="424">
        <v>0</v>
      </c>
      <c r="I19" s="425">
        <v>0</v>
      </c>
      <c r="J19" s="425">
        <f t="shared" si="1"/>
        <v>0</v>
      </c>
      <c r="K19" s="425">
        <f t="shared" ref="K19:K28" si="5">IF(AND(G19&lt;&gt;"",H19&lt;&gt;""),((IF(G19&lt;$B$14,MIN($B$14-G19,H19-G19),0)+IF(H19&gt;$B$14+TIME($C$14,($C$14-INT($C$14))*60,0),MIN((H19-$B$14-TIME($C$14,($C$14-INT($C$14))*60,0)),(H19-G19)),0))*24),"")</f>
        <v>0</v>
      </c>
      <c r="L19" s="97">
        <v>0</v>
      </c>
      <c r="M19" s="98">
        <f>(D14/60)*0</f>
        <v>0</v>
      </c>
      <c r="N19" s="251">
        <f>IFERROR(J19*IF(AND(ISNUMBER(SEARCH(TEXT(C19,"ddd"),$G$11)),Data!$F$2),$G$14,$D$14)+K19*$G$14,"")</f>
        <v>0</v>
      </c>
      <c r="O19" s="141">
        <f t="shared" si="2"/>
        <v>0</v>
      </c>
      <c r="P19" s="100"/>
      <c r="Q19" s="104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</row>
    <row r="20" spans="2:34">
      <c r="B20" s="432">
        <v>3</v>
      </c>
      <c r="C20" s="429">
        <f t="shared" si="3"/>
        <v>46279</v>
      </c>
      <c r="D20" s="430">
        <f t="shared" si="4"/>
        <v>46279</v>
      </c>
      <c r="E20" s="424">
        <v>0.33333333333333331</v>
      </c>
      <c r="F20" s="424">
        <v>0</v>
      </c>
      <c r="G20" s="424">
        <f t="shared" si="0"/>
        <v>0.33333333333333331</v>
      </c>
      <c r="H20" s="424">
        <v>0.75</v>
      </c>
      <c r="I20" s="425">
        <v>1</v>
      </c>
      <c r="J20" s="425">
        <f t="shared" ref="J20:J21" si="6">IFERROR(IF(AND(G20&lt;&gt;"",H20&lt;&gt;""),IF(G20&gt;$B$14+TIME($C$14,($C$14-INT($C$14))*60,0),0,IF(H20&gt;$B$14+TIME($C$14,($C$14-INT($C$14))*60,0),MIN(TIME($C$14,($C$14-INT($C$14))*60,0),($B$14+TIME($C$14,($C$14-INT($C$14))*60,0)-G20)),MIN(IF((H20-$B$14)&lt;0,0,(H20-$B$14)),(H20-G20))))*24,"")-I20,"")</f>
        <v>9</v>
      </c>
      <c r="K20" s="425">
        <f t="shared" si="5"/>
        <v>0</v>
      </c>
      <c r="L20" s="426">
        <f>G20-B14</f>
        <v>0</v>
      </c>
      <c r="M20" s="423">
        <f>(D14/60)*0</f>
        <v>0</v>
      </c>
      <c r="N20" s="427">
        <f>IFERROR(J20*IF(AND(ISNUMBER(SEARCH(TEXT(C20,"ddd"),$G$11)),Data!$F$2),$G$14,$D$14)+K20*$G$14,"")</f>
        <v>742.44245192307676</v>
      </c>
      <c r="O20" s="141">
        <f t="shared" si="2"/>
        <v>742.44245192307676</v>
      </c>
      <c r="P20" s="103"/>
      <c r="Q20" s="103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28"/>
    </row>
    <row r="21" spans="2:34">
      <c r="B21" s="432">
        <v>4</v>
      </c>
      <c r="C21" s="429">
        <f t="shared" si="3"/>
        <v>46280</v>
      </c>
      <c r="D21" s="430">
        <f t="shared" si="4"/>
        <v>46280</v>
      </c>
      <c r="E21" s="424">
        <v>0.33333333333333331</v>
      </c>
      <c r="F21" s="424">
        <v>0</v>
      </c>
      <c r="G21" s="424">
        <f t="shared" ref="G21" si="7">E21-F21</f>
        <v>0.33333333333333331</v>
      </c>
      <c r="H21" s="424">
        <v>0.75</v>
      </c>
      <c r="I21" s="425">
        <v>1</v>
      </c>
      <c r="J21" s="425">
        <f t="shared" si="6"/>
        <v>9</v>
      </c>
      <c r="K21" s="425">
        <f t="shared" si="5"/>
        <v>0</v>
      </c>
      <c r="L21" s="426">
        <v>0</v>
      </c>
      <c r="M21" s="423">
        <f>(D14/60)*0</f>
        <v>0</v>
      </c>
      <c r="N21" s="427">
        <f>IFERROR(J21*IF(AND(ISNUMBER(SEARCH(TEXT(C21,"ddd"),$G$11)),Data!$F$2),$G$14,$D$14)+K21*$G$14,"")</f>
        <v>742.44245192307676</v>
      </c>
      <c r="O21" s="141">
        <f t="shared" si="2"/>
        <v>742.44245192307676</v>
      </c>
      <c r="P21" s="162">
        <f>N21-O21</f>
        <v>0</v>
      </c>
      <c r="Q21" s="108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4"/>
    </row>
    <row r="22" spans="2:34">
      <c r="B22" s="432">
        <v>5</v>
      </c>
      <c r="C22" s="429">
        <f t="shared" si="3"/>
        <v>46281</v>
      </c>
      <c r="D22" s="430">
        <f t="shared" si="4"/>
        <v>46281</v>
      </c>
      <c r="E22" s="424">
        <v>0.33333333333333331</v>
      </c>
      <c r="F22" s="424">
        <v>0</v>
      </c>
      <c r="G22" s="424">
        <f>E22-F22</f>
        <v>0.33333333333333331</v>
      </c>
      <c r="H22" s="424">
        <v>0.75</v>
      </c>
      <c r="I22" s="425">
        <v>1</v>
      </c>
      <c r="J22" s="425">
        <v>0</v>
      </c>
      <c r="K22" s="425">
        <f t="shared" si="5"/>
        <v>0</v>
      </c>
      <c r="L22" s="426">
        <v>0</v>
      </c>
      <c r="M22" s="423">
        <f>(D14/60)*0</f>
        <v>0</v>
      </c>
      <c r="N22" s="427">
        <f>IFERROR(J22*IF(AND(ISNUMBER(SEARCH(TEXT(C22,"ddd"),$G$11)),Data!$F$2),$G$14,$D$14)+K22*$G$14,"")</f>
        <v>0</v>
      </c>
      <c r="O22" s="141">
        <f t="shared" si="2"/>
        <v>0</v>
      </c>
      <c r="P22" s="163"/>
      <c r="Q22" s="135"/>
      <c r="R22" s="96">
        <v>0.40486111111111101</v>
      </c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4"/>
    </row>
    <row r="23" spans="2:34">
      <c r="B23" s="432">
        <v>6</v>
      </c>
      <c r="C23" s="429">
        <f t="shared" si="3"/>
        <v>46282</v>
      </c>
      <c r="D23" s="430">
        <f t="shared" si="4"/>
        <v>46282</v>
      </c>
      <c r="E23" s="424">
        <v>0.33333333333333331</v>
      </c>
      <c r="F23" s="424">
        <v>0</v>
      </c>
      <c r="G23" s="424">
        <f t="shared" si="0"/>
        <v>0.33333333333333331</v>
      </c>
      <c r="H23" s="424">
        <v>0.75</v>
      </c>
      <c r="I23" s="425">
        <v>1</v>
      </c>
      <c r="J23" s="425">
        <f t="shared" si="1"/>
        <v>9</v>
      </c>
      <c r="K23" s="425">
        <f t="shared" si="5"/>
        <v>0</v>
      </c>
      <c r="L23" s="426">
        <f>G23-B14</f>
        <v>0</v>
      </c>
      <c r="M23" s="423">
        <f>(D14/60)*0</f>
        <v>0</v>
      </c>
      <c r="N23" s="427">
        <f>IFERROR(J23*IF(AND(ISNUMBER(SEARCH(TEXT(C23,"ddd"),$G$11)),Data!$F$2),$G$14,$D$14)+K23*$G$14,"")</f>
        <v>742.44245192307676</v>
      </c>
      <c r="O23" s="141">
        <f t="shared" si="2"/>
        <v>742.44245192307676</v>
      </c>
      <c r="P23" s="150"/>
      <c r="Q23" s="89"/>
      <c r="R23" s="96">
        <v>1.0416666666666701E-2</v>
      </c>
    </row>
    <row r="24" spans="2:34">
      <c r="B24" s="432">
        <v>7</v>
      </c>
      <c r="C24" s="429">
        <f t="shared" si="3"/>
        <v>46283</v>
      </c>
      <c r="D24" s="430">
        <f t="shared" si="4"/>
        <v>46283</v>
      </c>
      <c r="E24" s="424">
        <v>0.33333333333333331</v>
      </c>
      <c r="F24" s="424">
        <v>0</v>
      </c>
      <c r="G24" s="424">
        <f>E24-F24</f>
        <v>0.33333333333333331</v>
      </c>
      <c r="H24" s="424">
        <v>0.75</v>
      </c>
      <c r="I24" s="425">
        <v>1</v>
      </c>
      <c r="J24" s="425">
        <f t="shared" si="1"/>
        <v>9</v>
      </c>
      <c r="K24" s="425">
        <f t="shared" si="5"/>
        <v>0</v>
      </c>
      <c r="L24" s="426">
        <f>E24-B14</f>
        <v>0</v>
      </c>
      <c r="M24" s="423">
        <f>(D14/60)*0</f>
        <v>0</v>
      </c>
      <c r="N24" s="427">
        <f>IFERROR(J24*IF(AND(ISNUMBER(SEARCH(TEXT(C24,"ddd"),$G$11)),Data!$F$2),$G$14,$D$14)+K24*$G$14,"")</f>
        <v>742.44245192307676</v>
      </c>
      <c r="O24" s="141">
        <f t="shared" si="2"/>
        <v>742.44245192307676</v>
      </c>
      <c r="P24" s="155"/>
      <c r="Q24" s="89"/>
      <c r="R24" s="129">
        <f>R22-R23</f>
        <v>0.39444444444444432</v>
      </c>
    </row>
    <row r="25" spans="2:34">
      <c r="B25" s="432">
        <v>8</v>
      </c>
      <c r="C25" s="429">
        <f t="shared" si="3"/>
        <v>46284</v>
      </c>
      <c r="D25" s="430">
        <f t="shared" si="4"/>
        <v>46284</v>
      </c>
      <c r="E25" s="424">
        <v>0.375</v>
      </c>
      <c r="F25" s="424">
        <v>0</v>
      </c>
      <c r="G25" s="424">
        <f t="shared" si="0"/>
        <v>0.375</v>
      </c>
      <c r="H25" s="424">
        <v>0.5</v>
      </c>
      <c r="I25" s="425">
        <v>0</v>
      </c>
      <c r="J25" s="425">
        <f t="shared" si="1"/>
        <v>3</v>
      </c>
      <c r="K25" s="425">
        <f t="shared" si="5"/>
        <v>0</v>
      </c>
      <c r="L25" s="426">
        <f>E25-B14</f>
        <v>4.1666666666666685E-2</v>
      </c>
      <c r="M25" s="423">
        <f>(D14/60)*0</f>
        <v>0</v>
      </c>
      <c r="N25" s="427">
        <f>IFERROR(J25*IF(AND(ISNUMBER(SEARCH(TEXT(C25,"ddd"),$G$11)),Data!$F$2),$G$14,$D$14)+K25*$G$14,"")</f>
        <v>247.48081730769226</v>
      </c>
      <c r="O25" s="141">
        <f t="shared" si="2"/>
        <v>247.48081730769226</v>
      </c>
      <c r="P25" s="89"/>
      <c r="Q25" s="89"/>
    </row>
    <row r="26" spans="2:34">
      <c r="B26" s="432"/>
      <c r="C26" s="429">
        <f t="shared" si="3"/>
        <v>46285</v>
      </c>
      <c r="D26" s="430">
        <f t="shared" si="4"/>
        <v>46285</v>
      </c>
      <c r="E26" s="424">
        <v>0</v>
      </c>
      <c r="F26" s="424">
        <v>0</v>
      </c>
      <c r="G26" s="424">
        <f t="shared" si="0"/>
        <v>0</v>
      </c>
      <c r="H26" s="424">
        <v>0</v>
      </c>
      <c r="I26" s="425">
        <v>0</v>
      </c>
      <c r="J26" s="425">
        <f t="shared" si="1"/>
        <v>0</v>
      </c>
      <c r="K26" s="425">
        <f t="shared" si="5"/>
        <v>0</v>
      </c>
      <c r="L26" s="97">
        <v>0</v>
      </c>
      <c r="M26" s="98">
        <f>(D14/60)*0</f>
        <v>0</v>
      </c>
      <c r="N26" s="251">
        <f>IFERROR(J26*IF(AND(ISNUMBER(SEARCH(TEXT(C26,"ddd"),$G$11)),Data!$F$2),$G$14,$D$14)+K26*$G$14,"")</f>
        <v>0</v>
      </c>
      <c r="O26" s="141">
        <f t="shared" si="2"/>
        <v>0</v>
      </c>
      <c r="P26" s="89"/>
      <c r="Q26" s="89"/>
    </row>
    <row r="27" spans="2:34">
      <c r="B27" s="432">
        <v>9</v>
      </c>
      <c r="C27" s="429">
        <f t="shared" si="3"/>
        <v>46286</v>
      </c>
      <c r="D27" s="430">
        <f t="shared" si="4"/>
        <v>46286</v>
      </c>
      <c r="E27" s="424">
        <v>0.33333333333333331</v>
      </c>
      <c r="F27" s="424">
        <v>0</v>
      </c>
      <c r="G27" s="424">
        <f t="shared" si="0"/>
        <v>0.33333333333333331</v>
      </c>
      <c r="H27" s="424">
        <v>0.75</v>
      </c>
      <c r="I27" s="425">
        <v>1</v>
      </c>
      <c r="J27" s="425">
        <f t="shared" si="1"/>
        <v>9</v>
      </c>
      <c r="K27" s="425">
        <f t="shared" si="5"/>
        <v>0</v>
      </c>
      <c r="L27" s="426">
        <v>0</v>
      </c>
      <c r="M27" s="423">
        <f>(D14/60)*0</f>
        <v>0</v>
      </c>
      <c r="N27" s="427">
        <f>IFERROR(J27*IF(AND(ISNUMBER(SEARCH(TEXT(C27,"ddd"),$G$11)),Data!$F$2),$G$14,$D$14)+K27*$G$14,"")</f>
        <v>742.44245192307676</v>
      </c>
      <c r="O27" s="141">
        <f t="shared" si="2"/>
        <v>742.44245192307676</v>
      </c>
      <c r="P27" s="127">
        <f>O27-N27</f>
        <v>0</v>
      </c>
      <c r="Q27" s="89"/>
    </row>
    <row r="28" spans="2:34">
      <c r="B28" s="432">
        <v>10</v>
      </c>
      <c r="C28" s="429">
        <f t="shared" si="3"/>
        <v>46287</v>
      </c>
      <c r="D28" s="430">
        <f t="shared" si="4"/>
        <v>46287</v>
      </c>
      <c r="E28" s="424">
        <v>0.33333333333333331</v>
      </c>
      <c r="F28" s="424">
        <v>0</v>
      </c>
      <c r="G28" s="424">
        <f t="shared" ref="G28:G30" si="8">E28-F28</f>
        <v>0.33333333333333331</v>
      </c>
      <c r="H28" s="424">
        <v>0.75</v>
      </c>
      <c r="I28" s="425">
        <v>1</v>
      </c>
      <c r="J28" s="425">
        <f t="shared" ref="J28:J31" si="9">IFERROR(IF(AND(G28&lt;&gt;"",H28&lt;&gt;""),IF(G28&gt;$B$14+TIME($C$14,($C$14-INT($C$14))*60,0),0,IF(H28&gt;$B$14+TIME($C$14,($C$14-INT($C$14))*60,0),MIN(TIME($C$14,($C$14-INT($C$14))*60,0),($B$14+TIME($C$14,($C$14-INT($C$14))*60,0)-G28)),MIN(IF((H28-$B$14)&lt;0,0,(H28-$B$14)),(H28-G28))))*24,"")-I28,"")</f>
        <v>9</v>
      </c>
      <c r="K28" s="425">
        <f t="shared" si="5"/>
        <v>0</v>
      </c>
      <c r="L28" s="426">
        <v>0</v>
      </c>
      <c r="M28" s="423">
        <f>(D14/60)*0</f>
        <v>0</v>
      </c>
      <c r="N28" s="427">
        <f>IFERROR(J28*IF(AND(ISNUMBER(SEARCH(TEXT(C28,"ddd"),$G$11)),Data!$F$2),$G$14,$D$14)+K28*$G$14,"")</f>
        <v>742.44245192307676</v>
      </c>
      <c r="O28" s="141">
        <f t="shared" si="2"/>
        <v>742.44245192307676</v>
      </c>
      <c r="Q28" s="89"/>
    </row>
    <row r="29" spans="2:34">
      <c r="B29" s="432">
        <v>11</v>
      </c>
      <c r="C29" s="429">
        <f t="shared" si="3"/>
        <v>46288</v>
      </c>
      <c r="D29" s="430">
        <f t="shared" si="4"/>
        <v>46288</v>
      </c>
      <c r="E29" s="424">
        <v>0.34513888888888888</v>
      </c>
      <c r="F29" s="424">
        <v>0</v>
      </c>
      <c r="G29" s="424">
        <f t="shared" si="8"/>
        <v>0.34513888888888888</v>
      </c>
      <c r="H29" s="424">
        <v>0.75</v>
      </c>
      <c r="I29" s="425">
        <v>1</v>
      </c>
      <c r="J29" s="425">
        <f t="shared" si="9"/>
        <v>8.7166666666666668</v>
      </c>
      <c r="K29" s="425">
        <v>2</v>
      </c>
      <c r="L29" s="426">
        <f>E29-B14</f>
        <v>1.1805555555555569E-2</v>
      </c>
      <c r="M29" s="423">
        <f>(D14/60)*17</f>
        <v>23.373188301282049</v>
      </c>
      <c r="N29" s="427">
        <f>IFERROR(J29*IF(AND(ISNUMBER(SEARCH(TEXT(C29,"ddd"),$G$11)),Data!$F$2),$G$14,$D$14)+K29*$G$14,"")</f>
        <v>925.3032780448716</v>
      </c>
      <c r="O29" s="141">
        <f t="shared" si="2"/>
        <v>948.67646634615369</v>
      </c>
      <c r="Q29" s="89"/>
    </row>
    <row r="30" spans="2:34">
      <c r="B30" s="432">
        <v>12</v>
      </c>
      <c r="C30" s="429">
        <f t="shared" si="3"/>
        <v>46289</v>
      </c>
      <c r="D30" s="430">
        <f t="shared" si="4"/>
        <v>46289</v>
      </c>
      <c r="E30" s="424">
        <v>0.33333333333333331</v>
      </c>
      <c r="F30" s="424">
        <v>0</v>
      </c>
      <c r="G30" s="424">
        <f t="shared" si="8"/>
        <v>0.33333333333333331</v>
      </c>
      <c r="H30" s="424">
        <v>0.75</v>
      </c>
      <c r="I30" s="425">
        <v>1</v>
      </c>
      <c r="J30" s="425">
        <f t="shared" si="9"/>
        <v>9</v>
      </c>
      <c r="K30" s="425">
        <v>2</v>
      </c>
      <c r="L30" s="426">
        <f>G30-B14</f>
        <v>0</v>
      </c>
      <c r="M30" s="423">
        <f>(D14/60)*0</f>
        <v>0</v>
      </c>
      <c r="N30" s="427">
        <f>IFERROR(J30*IF(AND(ISNUMBER(SEARCH(TEXT(C30,"ddd"),$G$11)),Data!$F$2),$G$14,$D$14)+K30*$G$14,"")</f>
        <v>948.67646634615357</v>
      </c>
      <c r="O30" s="141">
        <f t="shared" si="2"/>
        <v>948.67646634615357</v>
      </c>
      <c r="P30" s="127"/>
      <c r="Q30" s="89"/>
    </row>
    <row r="31" spans="2:34">
      <c r="B31" s="432">
        <v>13</v>
      </c>
      <c r="C31" s="429">
        <f t="shared" si="3"/>
        <v>46290</v>
      </c>
      <c r="D31" s="430">
        <f t="shared" si="4"/>
        <v>46290</v>
      </c>
      <c r="E31" s="424">
        <v>0.33333333333333331</v>
      </c>
      <c r="F31" s="424">
        <v>0</v>
      </c>
      <c r="G31" s="424">
        <f>E31-F31</f>
        <v>0.33333333333333331</v>
      </c>
      <c r="H31" s="424">
        <v>0.75</v>
      </c>
      <c r="I31" s="425">
        <v>1</v>
      </c>
      <c r="J31" s="425">
        <f t="shared" si="9"/>
        <v>9</v>
      </c>
      <c r="K31" s="425">
        <v>4</v>
      </c>
      <c r="L31" s="426">
        <v>0</v>
      </c>
      <c r="M31" s="423">
        <f>(D14/60)*0</f>
        <v>0</v>
      </c>
      <c r="N31" s="427">
        <f>IFERROR(J31*IF(AND(ISNUMBER(SEARCH(TEXT(C31,"ddd"),$G$11)),Data!$F$2),$G$14,$D$14)+K31*$G$14,"")</f>
        <v>1154.9104807692306</v>
      </c>
      <c r="O31" s="141">
        <f t="shared" si="2"/>
        <v>1154.9104807692306</v>
      </c>
    </row>
    <row r="32" spans="2:34">
      <c r="B32" s="441"/>
      <c r="C32" s="442"/>
      <c r="D32" s="443"/>
      <c r="E32" s="444"/>
      <c r="F32" s="444"/>
      <c r="G32" s="593" t="s">
        <v>182</v>
      </c>
      <c r="H32" s="594"/>
      <c r="I32" s="445">
        <f>SUM(I17:I31)</f>
        <v>11</v>
      </c>
      <c r="J32" s="445">
        <f>SUM(J17:J31)</f>
        <v>95.433333333333337</v>
      </c>
      <c r="K32" s="445">
        <f>SUM(K17:K31)</f>
        <v>12</v>
      </c>
      <c r="L32" s="445">
        <f>SUM(L17:L31)</f>
        <v>0.10694444444444451</v>
      </c>
      <c r="M32" s="445">
        <f>SUM(M17:M31)</f>
        <v>46.746376602564098</v>
      </c>
      <c r="N32" s="441"/>
      <c r="O32" s="165">
        <f>SUM(N17:N31)</f>
        <v>9110.0438637820498</v>
      </c>
    </row>
    <row r="33" spans="2:17">
      <c r="B33" s="66"/>
      <c r="C33" s="76"/>
      <c r="D33" s="77"/>
      <c r="E33" s="144"/>
      <c r="F33" s="144"/>
      <c r="G33" s="81" t="s">
        <v>39</v>
      </c>
      <c r="H33" s="82"/>
      <c r="I33" s="83"/>
      <c r="J33" s="332"/>
      <c r="K33" s="80"/>
      <c r="L33" s="117">
        <f>(D14/60)*780</f>
        <v>1072.4168749999999</v>
      </c>
      <c r="M33" s="118"/>
      <c r="N33" s="166">
        <f>D14*H14</f>
        <v>8661.8286057692294</v>
      </c>
      <c r="O33" s="95">
        <f>SUM(N17:N31)</f>
        <v>9110.0438637820498</v>
      </c>
      <c r="P33" s="95"/>
      <c r="Q33" s="95"/>
    </row>
    <row r="34" spans="2:17">
      <c r="B34" s="65"/>
      <c r="C34" s="65"/>
      <c r="D34" s="85"/>
      <c r="E34" s="85"/>
      <c r="F34" s="85"/>
      <c r="G34" s="592" t="s">
        <v>183</v>
      </c>
      <c r="H34" s="592"/>
      <c r="I34" s="80"/>
      <c r="J34" s="80">
        <f>H14-J32</f>
        <v>9.5666666666666629</v>
      </c>
      <c r="K34" s="331"/>
      <c r="L34" s="120"/>
      <c r="M34" s="65"/>
      <c r="N34" s="121">
        <f>M32</f>
        <v>46.746376602564098</v>
      </c>
      <c r="O34" s="151">
        <f>O32-O33</f>
        <v>0</v>
      </c>
      <c r="P34" s="95"/>
      <c r="Q34" s="95"/>
    </row>
    <row r="35" spans="2:17">
      <c r="B35" s="65"/>
      <c r="C35" s="65"/>
      <c r="D35" s="85"/>
      <c r="E35" s="145"/>
      <c r="F35" s="145"/>
      <c r="G35" s="78" t="s">
        <v>41</v>
      </c>
      <c r="H35" s="79"/>
      <c r="I35" s="66"/>
      <c r="J35" s="66"/>
      <c r="K35" s="80"/>
      <c r="L35" s="80"/>
      <c r="M35" s="80"/>
      <c r="N35" s="121">
        <f>N33-N34</f>
        <v>8615.0822291666645</v>
      </c>
      <c r="O35" s="95"/>
      <c r="P35" s="95"/>
      <c r="Q35" s="95"/>
    </row>
    <row r="36" spans="2:17">
      <c r="B36" s="65"/>
      <c r="C36" s="65"/>
      <c r="D36" s="85"/>
      <c r="E36" s="146"/>
      <c r="F36" s="146"/>
      <c r="G36" s="604" t="s">
        <v>184</v>
      </c>
      <c r="H36" s="605"/>
      <c r="I36" s="80"/>
      <c r="J36" s="401"/>
      <c r="K36" s="122"/>
      <c r="L36" s="122"/>
      <c r="M36" s="122"/>
      <c r="N36" s="123">
        <f>G14*K32</f>
        <v>1237.4040865384613</v>
      </c>
      <c r="O36" s="95"/>
    </row>
    <row r="37" spans="2:17">
      <c r="B37" s="65"/>
      <c r="C37" s="65"/>
      <c r="D37" s="85"/>
      <c r="E37" s="146"/>
      <c r="F37" s="146"/>
      <c r="G37" s="86" t="s">
        <v>185</v>
      </c>
      <c r="H37" s="87"/>
      <c r="I37" s="80"/>
      <c r="J37" s="66"/>
      <c r="K37" s="122"/>
      <c r="L37" s="122"/>
      <c r="M37" s="122"/>
      <c r="N37" s="123">
        <f>N53</f>
        <v>0</v>
      </c>
      <c r="O37" s="95"/>
    </row>
    <row r="38" spans="2:17">
      <c r="B38" s="65"/>
      <c r="C38" s="65"/>
      <c r="D38" s="85"/>
      <c r="E38" s="145"/>
      <c r="F38" s="145"/>
      <c r="G38" s="597" t="s">
        <v>186</v>
      </c>
      <c r="H38" s="598"/>
      <c r="I38" s="66"/>
      <c r="J38" s="66"/>
      <c r="K38" s="66"/>
      <c r="L38" s="66"/>
      <c r="M38" s="66"/>
      <c r="N38" s="124">
        <f>N35+N36+N37</f>
        <v>9852.4863157051259</v>
      </c>
      <c r="O38" s="95"/>
    </row>
    <row r="39" spans="2:17">
      <c r="D39" s="88"/>
      <c r="E39" s="88"/>
      <c r="F39" s="88"/>
      <c r="G39" s="589"/>
      <c r="H39" s="589"/>
      <c r="I39" s="90"/>
      <c r="J39" s="90"/>
      <c r="K39" s="125"/>
      <c r="L39" s="125"/>
      <c r="M39" s="125"/>
      <c r="N39" s="126"/>
      <c r="O39" s="127"/>
    </row>
    <row r="40" spans="2:17">
      <c r="D40" s="91"/>
      <c r="E40" s="91"/>
      <c r="F40" s="91"/>
    </row>
    <row r="41" spans="2:17">
      <c r="B41" s="590" t="s">
        <v>187</v>
      </c>
      <c r="C41" s="590"/>
      <c r="D41" s="590"/>
      <c r="E41" s="590"/>
      <c r="F41" s="590"/>
      <c r="G41" s="590"/>
      <c r="H41" s="590"/>
      <c r="I41" s="590"/>
      <c r="J41" s="590"/>
      <c r="K41" s="590"/>
      <c r="L41" s="590"/>
      <c r="M41" s="590"/>
      <c r="N41" s="590"/>
    </row>
    <row r="42" spans="2:17">
      <c r="D42" s="91"/>
      <c r="E42" s="91"/>
      <c r="F42" s="91"/>
    </row>
    <row r="43" spans="2:17">
      <c r="D43" s="91" t="s">
        <v>188</v>
      </c>
      <c r="E43" s="91"/>
      <c r="F43" s="91"/>
      <c r="N43" s="95"/>
    </row>
    <row r="44" spans="2:17">
      <c r="D44" s="54" t="s">
        <v>10</v>
      </c>
      <c r="E44" s="54"/>
      <c r="F44" s="54"/>
      <c r="G44" s="54" t="s">
        <v>11</v>
      </c>
      <c r="H44" s="54" t="s">
        <v>12</v>
      </c>
      <c r="I44" s="55" t="s">
        <v>13</v>
      </c>
    </row>
    <row r="45" spans="2:17">
      <c r="D45" s="56">
        <v>2026</v>
      </c>
      <c r="E45" s="56"/>
      <c r="F45" s="56"/>
      <c r="G45" s="56" t="s">
        <v>204</v>
      </c>
      <c r="H45" s="56">
        <v>12</v>
      </c>
      <c r="I45" s="56" t="s">
        <v>178</v>
      </c>
    </row>
    <row r="46" spans="2:17">
      <c r="D46" s="57"/>
      <c r="E46" s="57"/>
      <c r="F46" s="57"/>
      <c r="G46" s="57"/>
    </row>
    <row r="47" spans="2:17" ht="33.75">
      <c r="D47" s="159" t="s">
        <v>16</v>
      </c>
      <c r="E47" s="159"/>
      <c r="F47" s="159"/>
      <c r="G47" s="159" t="s">
        <v>17</v>
      </c>
      <c r="H47" s="159" t="s">
        <v>18</v>
      </c>
      <c r="I47" s="159" t="s">
        <v>19</v>
      </c>
    </row>
    <row r="48" spans="2:17">
      <c r="D48" s="61">
        <v>0.33333333333333298</v>
      </c>
      <c r="E48" s="61"/>
      <c r="F48" s="61"/>
      <c r="G48" s="62">
        <v>10</v>
      </c>
      <c r="H48" s="63">
        <f>D14</f>
        <v>82.493605769230754</v>
      </c>
      <c r="I48" s="130">
        <f>(H48*30%)+H48</f>
        <v>107.24168749999998</v>
      </c>
    </row>
    <row r="50" spans="3:14">
      <c r="C50" s="131" t="s">
        <v>20</v>
      </c>
      <c r="D50" s="131" t="s">
        <v>12</v>
      </c>
      <c r="E50" s="131"/>
      <c r="F50" s="131"/>
      <c r="G50" s="131" t="s">
        <v>21</v>
      </c>
      <c r="H50" s="131" t="s">
        <v>22</v>
      </c>
      <c r="I50" s="131" t="s">
        <v>23</v>
      </c>
      <c r="J50" s="131" t="s">
        <v>24</v>
      </c>
      <c r="K50" s="131" t="s">
        <v>25</v>
      </c>
      <c r="L50" s="131"/>
      <c r="M50" s="131"/>
      <c r="N50" s="131" t="s">
        <v>26</v>
      </c>
    </row>
    <row r="51" spans="3:14">
      <c r="C51" s="70" t="s">
        <v>353</v>
      </c>
      <c r="D51" s="71">
        <f>DATE($B$11,MATCH($G$45,Data!$B$2:$B$13,0),PAREDES!$H$45)</f>
        <v>46185</v>
      </c>
      <c r="E51" s="71"/>
      <c r="F51" s="71"/>
      <c r="G51" s="72">
        <v>0</v>
      </c>
      <c r="H51" s="72">
        <v>0</v>
      </c>
      <c r="I51" s="73">
        <v>1</v>
      </c>
      <c r="J51" s="73">
        <f t="shared" ref="J51" si="10">IFERROR(IF(AND(G51&lt;&gt;"",H51&lt;&gt;""),IF(G51&gt;$B$14+TIME($C$14,($C$14-INT($C$14))*60,0),0,IF(H51&gt;$B$14+TIME($C$14,($C$14-INT($C$14))*60,0),MIN(TIME($C$14,($C$14-INT($C$14))*60,0),($B$14+TIME($C$14,($C$14-INT($C$14))*60,0)-G51)),MIN(IF((H51-$B$14)&lt;0,0,(H51-$B$14)),(H51-G51))))*24,"")-I51,"")</f>
        <v>-1</v>
      </c>
      <c r="K51" s="73">
        <v>0</v>
      </c>
      <c r="L51" s="73"/>
      <c r="M51" s="73"/>
      <c r="N51" s="99">
        <v>0</v>
      </c>
    </row>
    <row r="52" spans="3:14">
      <c r="C52" s="70"/>
      <c r="D52" s="71"/>
      <c r="E52" s="71"/>
      <c r="F52" s="71"/>
      <c r="G52" s="72"/>
      <c r="H52" s="72"/>
      <c r="I52" s="73"/>
      <c r="J52" s="73"/>
      <c r="K52" s="73"/>
      <c r="L52" s="73"/>
      <c r="M52" s="73"/>
      <c r="N52" s="99"/>
    </row>
    <row r="53" spans="3:14">
      <c r="C53" s="66"/>
      <c r="D53" s="319"/>
      <c r="E53" s="66"/>
      <c r="F53" s="66"/>
      <c r="G53" s="66"/>
      <c r="H53" s="66"/>
      <c r="I53" s="66"/>
      <c r="J53" s="66"/>
      <c r="K53" s="66"/>
      <c r="L53" s="66"/>
      <c r="M53" s="66"/>
      <c r="N53" s="318">
        <f>SUM(N51:N52)</f>
        <v>0</v>
      </c>
    </row>
    <row r="54" spans="3:14">
      <c r="D54" s="326"/>
      <c r="N54" s="324"/>
    </row>
    <row r="55" spans="3:14">
      <c r="C55" s="132" t="s">
        <v>190</v>
      </c>
      <c r="D55" s="132"/>
      <c r="N55" s="138"/>
    </row>
    <row r="56" spans="3:14">
      <c r="N56" s="138"/>
    </row>
    <row r="57" spans="3:14">
      <c r="D57" s="591">
        <v>45581</v>
      </c>
      <c r="E57" s="591"/>
      <c r="F57" s="591"/>
      <c r="G57" s="88">
        <v>742.44</v>
      </c>
      <c r="H57" s="148" t="s">
        <v>280</v>
      </c>
      <c r="I57" s="254"/>
      <c r="N57" s="138"/>
    </row>
    <row r="58" spans="3:14">
      <c r="E58" s="88"/>
      <c r="F58" s="88"/>
      <c r="G58" s="256">
        <f>G57*H58</f>
        <v>222.732</v>
      </c>
      <c r="H58" s="253">
        <v>0.3</v>
      </c>
      <c r="I58" s="254"/>
      <c r="N58" s="138"/>
    </row>
    <row r="59" spans="3:14">
      <c r="E59" s="91"/>
      <c r="F59" s="91"/>
      <c r="G59" s="91"/>
      <c r="N59" s="138"/>
    </row>
    <row r="60" spans="3:14">
      <c r="E60" s="91"/>
      <c r="F60" s="91"/>
      <c r="G60" s="91"/>
      <c r="H60" s="257"/>
      <c r="N60" s="138"/>
    </row>
    <row r="61" spans="3:14">
      <c r="N61" s="138"/>
    </row>
    <row r="62" spans="3:14">
      <c r="N62" s="138"/>
    </row>
    <row r="63" spans="3:14">
      <c r="N63" s="138"/>
    </row>
    <row r="64" spans="3:14">
      <c r="D64" s="132"/>
      <c r="E64" s="132"/>
      <c r="F64" s="132"/>
      <c r="G64" s="133"/>
      <c r="H64" s="133"/>
      <c r="I64" s="133"/>
    </row>
    <row r="65" spans="3:9">
      <c r="D65" s="132"/>
      <c r="E65" s="132"/>
      <c r="F65" s="132"/>
      <c r="G65" s="133"/>
      <c r="H65" s="133"/>
      <c r="I65" s="133"/>
    </row>
    <row r="66" spans="3:9">
      <c r="F66" s="132"/>
      <c r="G66" s="133"/>
      <c r="H66" s="133"/>
      <c r="I66" s="133"/>
    </row>
    <row r="67" spans="3:9">
      <c r="G67" s="606"/>
      <c r="H67" s="606"/>
    </row>
    <row r="70" spans="3:9">
      <c r="C70" s="91" t="s">
        <v>141</v>
      </c>
    </row>
    <row r="71" spans="3:9">
      <c r="C71" t="s">
        <v>66</v>
      </c>
    </row>
    <row r="72" spans="3:9">
      <c r="C72" s="91"/>
    </row>
  </sheetData>
  <mergeCells count="13">
    <mergeCell ref="B41:N41"/>
    <mergeCell ref="G67:H67"/>
    <mergeCell ref="G32:H32"/>
    <mergeCell ref="G34:H34"/>
    <mergeCell ref="G36:H36"/>
    <mergeCell ref="G38:H38"/>
    <mergeCell ref="G39:H39"/>
    <mergeCell ref="D57:F57"/>
    <mergeCell ref="A6:N6"/>
    <mergeCell ref="C7:D7"/>
    <mergeCell ref="M7:O7"/>
    <mergeCell ref="C8:D8"/>
    <mergeCell ref="M8:O8"/>
  </mergeCells>
  <conditionalFormatting sqref="C17:D17">
    <cfRule type="expression" dxfId="260" priority="90">
      <formula>ISNUMBER(SEARCH(TEXT($B17,"ddd"),$F$10))</formula>
    </cfRule>
  </conditionalFormatting>
  <conditionalFormatting sqref="C18:D31">
    <cfRule type="expression" dxfId="259" priority="96">
      <formula>ISNUMBER(SEARCH(TEXT($C18,"ddd"),$G$11))</formula>
    </cfRule>
  </conditionalFormatting>
  <conditionalFormatting sqref="C51:N52">
    <cfRule type="expression" dxfId="258" priority="13">
      <formula>ISNUMBER(SEARCH(TEXT($C51,"ddd"),$G$11))</formula>
    </cfRule>
  </conditionalFormatting>
  <conditionalFormatting sqref="E17:K31">
    <cfRule type="expression" dxfId="257" priority="1">
      <formula>ISNUMBER(SEARCH(TEXT($C17,"ddd"),$G$11))</formula>
    </cfRule>
  </conditionalFormatting>
  <conditionalFormatting sqref="N17:N31">
    <cfRule type="expression" dxfId="256" priority="91">
      <formula>ISNUMBER(SEARCH(TEXT($B17,"ddd"),$F$10))</formula>
    </cfRule>
  </conditionalFormatting>
  <dataValidations count="5">
    <dataValidation type="list" allowBlank="1" showInputMessage="1" showErrorMessage="1" sqref="E11:F11" xr:uid="{00000000-0002-0000-1100-000000000000}">
      <formula1>PAREDES!DateCalc</formula1>
    </dataValidation>
    <dataValidation type="custom" allowBlank="1" showInputMessage="1" showErrorMessage="1" sqref="G51:G52 E17:G31" xr:uid="{00000000-0002-0000-1100-000001000000}">
      <formula1>AND($G17&lt;=1,ISNUMBER($G17))</formula1>
    </dataValidation>
    <dataValidation type="custom" allowBlank="1" showInputMessage="1" showErrorMessage="1" sqref="H51:H52 H17:H31" xr:uid="{00000000-0002-0000-1100-000002000000}">
      <formula1>AND($H17&lt;=1,ISNUMBER($H17),($H17&gt;=$G17))</formula1>
    </dataValidation>
    <dataValidation type="list" allowBlank="1" showInputMessage="1" showErrorMessage="1" sqref="D11 H45" xr:uid="{00000000-0002-0000-1100-000003000000}">
      <formula1>DateCalc</formula1>
    </dataValidation>
    <dataValidation type="list" allowBlank="1" showInputMessage="1" showErrorMessage="1" sqref="G11" xr:uid="{00000000-0002-0000-1100-000004000000}"/>
  </dataValidations>
  <pageMargins left="1.07083333333333" right="0.25" top="0.359722222222222" bottom="0.39791666666666697" header="0.29861111111111099" footer="0.29861111111111099"/>
  <pageSetup paperSize="9" scale="91" orientation="landscape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9985" r:id="rId4" name="Check Box 1">
              <controlPr defaultSize="0" print="0" autoPict="0">
                <anchor moveWithCells="1">
                  <from>
                    <xdr:col>7</xdr:col>
                    <xdr:colOff>180975</xdr:colOff>
                    <xdr:row>9</xdr:row>
                    <xdr:rowOff>28575</xdr:rowOff>
                  </from>
                  <to>
                    <xdr:col>8</xdr:col>
                    <xdr:colOff>571500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100-000005000000}">
          <x14:formula1>
            <xm:f>Data!$B$2:$B$13</xm:f>
          </x14:formula1>
          <xm:sqref>C11 G45</xm:sqref>
        </x14:dataValidation>
        <x14:dataValidation type="list" allowBlank="1" showInputMessage="1" showErrorMessage="1" xr:uid="{00000000-0002-0000-1100-000006000000}">
          <x14:formula1>
            <xm:f>Data!$A$2:$A$15</xm:f>
          </x14:formula1>
          <xm:sqref>B11 D45:F45</xm:sqref>
        </x14:dataValidation>
        <x14:dataValidation type="list" allowBlank="1" showInputMessage="1" showErrorMessage="1" xr:uid="{00000000-0002-0000-1100-000007000000}">
          <x14:formula1>
            <xm:f>Data!$D$2:$D$16</xm:f>
          </x14:formula1>
          <xm:sqref>I45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A91DD-E274-4DB6-8FB5-8E40EFB1B890}">
  <dimension ref="A5:AH69"/>
  <sheetViews>
    <sheetView showGridLines="0" showWhiteSpace="0" view="pageLayout" topLeftCell="A14" zoomScaleNormal="100" workbookViewId="0">
      <selection activeCell="N35" sqref="N35"/>
    </sheetView>
  </sheetViews>
  <sheetFormatPr defaultColWidth="9" defaultRowHeight="12.75"/>
  <cols>
    <col min="1" max="1" width="1.625" customWidth="1"/>
    <col min="2" max="2" width="5.375" customWidth="1"/>
    <col min="3" max="3" width="7.125" customWidth="1"/>
    <col min="4" max="6" width="7.625" customWidth="1"/>
    <col min="7" max="7" width="10.125" customWidth="1"/>
    <col min="8" max="8" width="9.625" customWidth="1"/>
    <col min="9" max="9" width="8.125" customWidth="1"/>
    <col min="10" max="10" width="10.125" customWidth="1"/>
    <col min="11" max="11" width="7.875" customWidth="1"/>
    <col min="12" max="12" width="10.125" customWidth="1"/>
    <col min="13" max="13" width="10.375" customWidth="1"/>
    <col min="14" max="14" width="12.5" customWidth="1"/>
    <col min="15" max="15" width="16.875" customWidth="1"/>
    <col min="18" max="18" width="11.125" customWidth="1"/>
  </cols>
  <sheetData>
    <row r="5" spans="1:21" ht="25.5" customHeight="1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21" s="47" customFormat="1" ht="25.5" customHeight="1">
      <c r="A6" s="603"/>
      <c r="B6" s="603"/>
      <c r="C6" s="603"/>
      <c r="D6" s="603"/>
      <c r="E6" s="603"/>
      <c r="F6" s="603"/>
      <c r="G6" s="603"/>
      <c r="H6" s="603"/>
      <c r="I6" s="603"/>
      <c r="J6" s="603"/>
      <c r="K6" s="603"/>
      <c r="L6" s="603"/>
      <c r="M6" s="603"/>
      <c r="N6" s="603"/>
    </row>
    <row r="7" spans="1:21" ht="18.75" customHeight="1">
      <c r="C7" s="527" t="s">
        <v>3</v>
      </c>
      <c r="D7" s="527"/>
      <c r="E7" s="49"/>
      <c r="F7" s="49"/>
      <c r="G7" s="50" t="s">
        <v>461</v>
      </c>
      <c r="H7" s="51"/>
      <c r="K7" s="49" t="s">
        <v>174</v>
      </c>
      <c r="M7" s="599" t="str">
        <f>PAALAN!L7</f>
        <v>September  11-25, 2026</v>
      </c>
      <c r="N7" s="599"/>
      <c r="O7" s="599"/>
    </row>
    <row r="8" spans="1:21" ht="18.75" customHeight="1">
      <c r="C8" s="527" t="s">
        <v>175</v>
      </c>
      <c r="D8" s="527"/>
      <c r="E8" s="49"/>
      <c r="F8" s="49"/>
      <c r="G8" s="50" t="s">
        <v>459</v>
      </c>
      <c r="H8" s="51"/>
      <c r="K8" s="49" t="s">
        <v>176</v>
      </c>
      <c r="L8" s="92"/>
      <c r="M8" s="600" t="str">
        <f>PAALAN!L8</f>
        <v>9/31/2026</v>
      </c>
      <c r="N8" s="600"/>
      <c r="O8" s="600"/>
    </row>
    <row r="9" spans="1:21">
      <c r="C9" s="52"/>
      <c r="D9" s="53"/>
      <c r="E9" s="53"/>
      <c r="F9" s="53"/>
      <c r="G9" s="53"/>
    </row>
    <row r="10" spans="1:21">
      <c r="B10" s="54" t="s">
        <v>10</v>
      </c>
      <c r="C10" s="54" t="s">
        <v>11</v>
      </c>
      <c r="D10" s="54" t="s">
        <v>12</v>
      </c>
      <c r="E10" s="54"/>
      <c r="F10" s="54"/>
      <c r="G10" s="55" t="s">
        <v>13</v>
      </c>
    </row>
    <row r="11" spans="1:21">
      <c r="B11" s="56">
        <v>2026</v>
      </c>
      <c r="C11" s="56" t="s">
        <v>177</v>
      </c>
      <c r="D11" s="56">
        <v>11</v>
      </c>
      <c r="E11" s="56"/>
      <c r="F11" s="56"/>
      <c r="G11" s="56" t="s">
        <v>178</v>
      </c>
    </row>
    <row r="12" spans="1:21">
      <c r="B12" s="57"/>
      <c r="C12" s="57"/>
      <c r="H12" s="57"/>
      <c r="K12" s="57"/>
      <c r="L12" s="57"/>
      <c r="M12" s="57"/>
    </row>
    <row r="13" spans="1:21" ht="32.1" customHeight="1">
      <c r="B13" s="159" t="s">
        <v>16</v>
      </c>
      <c r="C13" s="159" t="s">
        <v>17</v>
      </c>
      <c r="D13" s="159" t="s">
        <v>18</v>
      </c>
      <c r="E13" s="160"/>
      <c r="F13" s="160"/>
      <c r="G13" s="160" t="s">
        <v>19</v>
      </c>
      <c r="H13" s="161" t="s">
        <v>179</v>
      </c>
      <c r="L13" s="93"/>
      <c r="M13" s="93"/>
      <c r="N13" s="94"/>
      <c r="O13" s="159" t="s">
        <v>16</v>
      </c>
      <c r="P13" s="159" t="s">
        <v>17</v>
      </c>
      <c r="Q13" s="159" t="s">
        <v>18</v>
      </c>
      <c r="R13" s="160"/>
      <c r="S13" s="160"/>
      <c r="T13" s="160" t="s">
        <v>19</v>
      </c>
      <c r="U13" s="161" t="s">
        <v>179</v>
      </c>
    </row>
    <row r="14" spans="1:21">
      <c r="B14" s="61">
        <v>0.33333333333333331</v>
      </c>
      <c r="C14" s="62">
        <v>10</v>
      </c>
      <c r="D14" s="63">
        <f>(13000/26)/8</f>
        <v>62.5</v>
      </c>
      <c r="E14" s="142"/>
      <c r="F14" s="142"/>
      <c r="G14" s="64">
        <f>(D14*25%)+D14</f>
        <v>78.125</v>
      </c>
      <c r="H14" s="65">
        <v>105</v>
      </c>
      <c r="I14" s="95"/>
      <c r="L14" s="57"/>
      <c r="M14" s="57"/>
      <c r="N14" s="95"/>
      <c r="O14" s="61">
        <v>0.375</v>
      </c>
      <c r="P14" s="62">
        <v>3</v>
      </c>
      <c r="Q14" s="63">
        <f>(16082.56/26)/8</f>
        <v>77.319999999999993</v>
      </c>
      <c r="R14" s="142"/>
      <c r="S14" s="142"/>
      <c r="T14" s="64">
        <f>(Q14*25%)+Q14</f>
        <v>96.649999999999991</v>
      </c>
      <c r="U14" s="65">
        <v>99</v>
      </c>
    </row>
    <row r="15" spans="1:21">
      <c r="N15" s="96"/>
    </row>
    <row r="16" spans="1:21" ht="23.25">
      <c r="B16" s="66"/>
      <c r="C16" s="67" t="s">
        <v>20</v>
      </c>
      <c r="D16" s="67" t="s">
        <v>12</v>
      </c>
      <c r="E16" s="67"/>
      <c r="F16" s="67"/>
      <c r="G16" s="67" t="s">
        <v>21</v>
      </c>
      <c r="H16" s="67" t="s">
        <v>22</v>
      </c>
      <c r="I16" s="68" t="s">
        <v>23</v>
      </c>
      <c r="J16" s="68" t="s">
        <v>24</v>
      </c>
      <c r="K16" s="68" t="s">
        <v>25</v>
      </c>
      <c r="L16" s="67" t="s">
        <v>180</v>
      </c>
      <c r="M16" s="134" t="s">
        <v>181</v>
      </c>
      <c r="N16" s="67" t="s">
        <v>26</v>
      </c>
    </row>
    <row r="17" spans="2:34">
      <c r="B17" s="69">
        <v>1</v>
      </c>
      <c r="C17" s="429">
        <f>DATE($B$11,MATCH($C$11,Data!$B$2:$B$13,0),ELEAZAR!$D$11)</f>
        <v>46276</v>
      </c>
      <c r="D17" s="430">
        <f>DATE($B$11,MATCH($C$11,Data!$B$2:$B$13,0),ELEAZAR!$D$11)</f>
        <v>46276</v>
      </c>
      <c r="E17" s="424">
        <v>0</v>
      </c>
      <c r="F17" s="424">
        <v>0</v>
      </c>
      <c r="G17" s="424">
        <f t="shared" ref="G17:G29" si="0">E17-F17</f>
        <v>0</v>
      </c>
      <c r="H17" s="424">
        <v>0</v>
      </c>
      <c r="I17" s="425">
        <v>0</v>
      </c>
      <c r="J17" s="425">
        <f t="shared" ref="J17:J31" si="1">IFERROR(IF(AND(G17&lt;&gt;"",H17&lt;&gt;""),IF(G17&gt;$B$14+TIME($C$14,($C$14-INT($C$14))*60,0),0,IF(H17&gt;$B$14+TIME($C$14,($C$14-INT($C$14))*60,0),MIN(TIME($C$14,($C$14-INT($C$14))*60,0),($B$14+TIME($C$14,($C$14-INT($C$14))*60,0)-G17)),MIN(IF((H17-$B$14)&lt;0,0,(H17-$B$14)),(H17-G17))))*24,"")-I17,"")</f>
        <v>0</v>
      </c>
      <c r="K17" s="425">
        <v>0</v>
      </c>
      <c r="L17" s="426">
        <v>0</v>
      </c>
      <c r="M17" s="423">
        <f>(D14/60)*540</f>
        <v>562.5</v>
      </c>
      <c r="N17" s="427">
        <f>IFERROR(J17*IF(AND(ISNUMBER(SEARCH(TEXT(C17,"ddd"),$G$11)),Data!$F$2),$G$14,$D$14)+K17*$G$14,"")</f>
        <v>0</v>
      </c>
      <c r="O17" s="141">
        <f t="shared" ref="O17:O30" si="2">M17+N17</f>
        <v>562.5</v>
      </c>
      <c r="P17" s="100"/>
      <c r="Q17" s="89"/>
    </row>
    <row r="18" spans="2:34">
      <c r="B18" s="69">
        <v>2</v>
      </c>
      <c r="C18" s="429">
        <f t="shared" ref="C18:D31" si="3">C17+1</f>
        <v>46277</v>
      </c>
      <c r="D18" s="430">
        <f t="shared" si="3"/>
        <v>46277</v>
      </c>
      <c r="E18" s="424">
        <v>0</v>
      </c>
      <c r="F18" s="424">
        <v>0</v>
      </c>
      <c r="G18" s="424">
        <f t="shared" si="0"/>
        <v>0</v>
      </c>
      <c r="H18" s="424">
        <v>0</v>
      </c>
      <c r="I18" s="425">
        <v>0</v>
      </c>
      <c r="J18" s="425">
        <f t="shared" si="1"/>
        <v>0</v>
      </c>
      <c r="K18" s="425">
        <v>0</v>
      </c>
      <c r="L18" s="426">
        <v>0</v>
      </c>
      <c r="M18" s="423">
        <f>(D14/60)*180</f>
        <v>187.5</v>
      </c>
      <c r="N18" s="427">
        <f>IFERROR(J18*IF(AND(ISNUMBER(SEARCH(TEXT(C18,"ddd"),$G$11)),Data!$F$2),$G$14,$D$14)+K18*$G$14,"")</f>
        <v>0</v>
      </c>
      <c r="O18" s="141">
        <f t="shared" si="2"/>
        <v>187.5</v>
      </c>
      <c r="P18" s="89"/>
      <c r="Q18" s="89"/>
    </row>
    <row r="19" spans="2:34">
      <c r="B19" s="69"/>
      <c r="C19" s="429">
        <f t="shared" si="3"/>
        <v>46278</v>
      </c>
      <c r="D19" s="430">
        <f t="shared" si="3"/>
        <v>46278</v>
      </c>
      <c r="E19" s="424">
        <v>0</v>
      </c>
      <c r="F19" s="424">
        <v>0</v>
      </c>
      <c r="G19" s="424">
        <f t="shared" si="0"/>
        <v>0</v>
      </c>
      <c r="H19" s="424">
        <v>0</v>
      </c>
      <c r="I19" s="425">
        <v>0</v>
      </c>
      <c r="J19" s="425">
        <f t="shared" si="1"/>
        <v>0</v>
      </c>
      <c r="K19" s="425">
        <v>0</v>
      </c>
      <c r="L19" s="97">
        <v>0</v>
      </c>
      <c r="M19" s="98">
        <f>(D14/60)*0</f>
        <v>0</v>
      </c>
      <c r="N19" s="251">
        <f>IFERROR(J19*IF(AND(ISNUMBER(SEARCH(TEXT(C19,"ddd"),$G$11)),Data!$F$2),$G$14,$D$14)+K19*$G$14,"")</f>
        <v>0</v>
      </c>
      <c r="O19" s="141">
        <f t="shared" si="2"/>
        <v>0</v>
      </c>
      <c r="P19" s="100"/>
      <c r="Q19" s="104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</row>
    <row r="20" spans="2:34">
      <c r="B20" s="69">
        <v>3</v>
      </c>
      <c r="C20" s="429">
        <f t="shared" si="3"/>
        <v>46279</v>
      </c>
      <c r="D20" s="430">
        <f t="shared" si="3"/>
        <v>46279</v>
      </c>
      <c r="E20" s="424">
        <v>0</v>
      </c>
      <c r="F20" s="424">
        <v>0</v>
      </c>
      <c r="G20" s="424">
        <f t="shared" si="0"/>
        <v>0</v>
      </c>
      <c r="H20" s="424">
        <v>0</v>
      </c>
      <c r="I20" s="425">
        <v>0</v>
      </c>
      <c r="J20" s="425">
        <f t="shared" si="1"/>
        <v>0</v>
      </c>
      <c r="K20" s="425">
        <f t="shared" ref="K20:K28" si="4">IF(AND(G20&lt;&gt;"",H20&lt;&gt;""),((IF(G20&lt;$B$14,MIN($B$14-G20,H20-G20),0)+IF(H20&gt;$B$14+TIME($C$14,($C$14-INT($C$14))*60,0),MIN((H20-$B$14-TIME($C$14,($C$14-INT($C$14))*60,0)),(H20-G20)),0))*24),"")</f>
        <v>0</v>
      </c>
      <c r="L20" s="426">
        <v>0</v>
      </c>
      <c r="M20" s="423">
        <f>(D14/60)*540</f>
        <v>562.5</v>
      </c>
      <c r="N20" s="427">
        <f>IFERROR(J20*IF(AND(ISNUMBER(SEARCH(TEXT(C20,"ddd"),$G$11)),Data!$F$2),$G$14,$D$14)+K20*$G$14,"")</f>
        <v>0</v>
      </c>
      <c r="O20" s="141">
        <f t="shared" si="2"/>
        <v>562.5</v>
      </c>
      <c r="P20" s="103"/>
      <c r="Q20" s="103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28"/>
    </row>
    <row r="21" spans="2:34">
      <c r="B21" s="69">
        <v>4</v>
      </c>
      <c r="C21" s="429">
        <f t="shared" si="3"/>
        <v>46280</v>
      </c>
      <c r="D21" s="430">
        <f t="shared" si="3"/>
        <v>46280</v>
      </c>
      <c r="E21" s="424">
        <v>0</v>
      </c>
      <c r="F21" s="424">
        <v>0</v>
      </c>
      <c r="G21" s="424">
        <f t="shared" si="0"/>
        <v>0</v>
      </c>
      <c r="H21" s="424">
        <v>0</v>
      </c>
      <c r="I21" s="425">
        <v>0</v>
      </c>
      <c r="J21" s="425">
        <f t="shared" si="1"/>
        <v>0</v>
      </c>
      <c r="K21" s="425">
        <f t="shared" si="4"/>
        <v>0</v>
      </c>
      <c r="L21" s="426">
        <v>0</v>
      </c>
      <c r="M21" s="423">
        <f>(D14/60)*540</f>
        <v>562.5</v>
      </c>
      <c r="N21" s="427">
        <f>IFERROR(J21*IF(AND(ISNUMBER(SEARCH(TEXT(C21,"ddd"),$G$11)),Data!$F$2),$G$14,$D$14)+K21*$G$14,"")</f>
        <v>0</v>
      </c>
      <c r="O21" s="141">
        <f t="shared" si="2"/>
        <v>562.5</v>
      </c>
      <c r="P21" s="162"/>
      <c r="Q21" s="108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4"/>
    </row>
    <row r="22" spans="2:34">
      <c r="B22" s="69">
        <v>5</v>
      </c>
      <c r="C22" s="429">
        <f t="shared" si="3"/>
        <v>46281</v>
      </c>
      <c r="D22" s="430">
        <f t="shared" si="3"/>
        <v>46281</v>
      </c>
      <c r="E22" s="424">
        <v>0</v>
      </c>
      <c r="F22" s="424">
        <v>0</v>
      </c>
      <c r="G22" s="424">
        <f t="shared" si="0"/>
        <v>0</v>
      </c>
      <c r="H22" s="424">
        <v>0</v>
      </c>
      <c r="I22" s="425">
        <v>0</v>
      </c>
      <c r="J22" s="425">
        <f t="shared" si="1"/>
        <v>0</v>
      </c>
      <c r="K22" s="425">
        <f t="shared" si="4"/>
        <v>0</v>
      </c>
      <c r="L22" s="426">
        <v>0</v>
      </c>
      <c r="M22" s="423">
        <f>(D14/60)*540</f>
        <v>562.5</v>
      </c>
      <c r="N22" s="427">
        <f>IFERROR(J22*IF(AND(ISNUMBER(SEARCH(TEXT(C22,"ddd"),$G$11)),Data!$F$2),$G$14,$D$14)+K22*$G$14,"")</f>
        <v>0</v>
      </c>
      <c r="O22" s="141">
        <f t="shared" si="2"/>
        <v>562.5</v>
      </c>
      <c r="P22" s="163">
        <f>O21-O22</f>
        <v>0</v>
      </c>
      <c r="Q22" s="135"/>
      <c r="R22" s="96">
        <v>0.40486111111111101</v>
      </c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4"/>
    </row>
    <row r="23" spans="2:34">
      <c r="B23" s="69">
        <v>6</v>
      </c>
      <c r="C23" s="429">
        <f t="shared" si="3"/>
        <v>46282</v>
      </c>
      <c r="D23" s="430">
        <f t="shared" si="3"/>
        <v>46282</v>
      </c>
      <c r="E23" s="424">
        <v>0</v>
      </c>
      <c r="F23" s="424">
        <v>0</v>
      </c>
      <c r="G23" s="424">
        <f t="shared" si="0"/>
        <v>0</v>
      </c>
      <c r="H23" s="424">
        <v>0</v>
      </c>
      <c r="I23" s="425">
        <v>0</v>
      </c>
      <c r="J23" s="425">
        <f t="shared" si="1"/>
        <v>0</v>
      </c>
      <c r="K23" s="425">
        <v>0</v>
      </c>
      <c r="L23" s="426">
        <v>0</v>
      </c>
      <c r="M23" s="423">
        <f>(D14/60)*540</f>
        <v>562.5</v>
      </c>
      <c r="N23" s="427">
        <f>IFERROR(J23*IF(AND(ISNUMBER(SEARCH(TEXT(C23,"ddd"),$G$11)),Data!$F$2),$G$14,$D$14)+K23*$G$14,"")</f>
        <v>0</v>
      </c>
      <c r="O23" s="141">
        <f t="shared" si="2"/>
        <v>562.5</v>
      </c>
      <c r="P23" s="150"/>
      <c r="Q23" s="89"/>
      <c r="R23" s="96">
        <v>1.0416666666666701E-2</v>
      </c>
    </row>
    <row r="24" spans="2:34">
      <c r="B24" s="69">
        <v>7</v>
      </c>
      <c r="C24" s="429">
        <f t="shared" si="3"/>
        <v>46283</v>
      </c>
      <c r="D24" s="430">
        <f t="shared" si="3"/>
        <v>46283</v>
      </c>
      <c r="E24" s="424">
        <v>0</v>
      </c>
      <c r="F24" s="424">
        <v>0</v>
      </c>
      <c r="G24" s="424">
        <f t="shared" si="0"/>
        <v>0</v>
      </c>
      <c r="H24" s="424">
        <v>0</v>
      </c>
      <c r="I24" s="425">
        <v>0</v>
      </c>
      <c r="J24" s="425">
        <f t="shared" si="1"/>
        <v>0</v>
      </c>
      <c r="K24" s="425">
        <v>0</v>
      </c>
      <c r="L24" s="426">
        <v>0</v>
      </c>
      <c r="M24" s="423">
        <f>(D14/60)*540</f>
        <v>562.5</v>
      </c>
      <c r="N24" s="427">
        <f>IFERROR(J24*IF(AND(ISNUMBER(SEARCH(TEXT(C24,"ddd"),$G$11)),Data!$F$2),$G$14,$D$14)+K24*$G$14,"")</f>
        <v>0</v>
      </c>
      <c r="O24" s="141">
        <f t="shared" si="2"/>
        <v>562.5</v>
      </c>
      <c r="P24" s="155"/>
      <c r="Q24" s="89"/>
      <c r="R24" s="129">
        <f>R22-R23</f>
        <v>0.39444444444444432</v>
      </c>
    </row>
    <row r="25" spans="2:34">
      <c r="B25" s="69">
        <v>8</v>
      </c>
      <c r="C25" s="429">
        <f t="shared" si="3"/>
        <v>46284</v>
      </c>
      <c r="D25" s="430">
        <f t="shared" si="3"/>
        <v>46284</v>
      </c>
      <c r="E25" s="424">
        <v>0</v>
      </c>
      <c r="F25" s="424">
        <v>0</v>
      </c>
      <c r="G25" s="424">
        <f t="shared" si="0"/>
        <v>0</v>
      </c>
      <c r="H25" s="424">
        <v>0</v>
      </c>
      <c r="I25" s="425">
        <v>0</v>
      </c>
      <c r="J25" s="425">
        <f t="shared" si="1"/>
        <v>0</v>
      </c>
      <c r="K25" s="425">
        <f t="shared" si="4"/>
        <v>0</v>
      </c>
      <c r="L25" s="426">
        <v>0</v>
      </c>
      <c r="M25" s="423">
        <f>(D14/60)*180</f>
        <v>187.5</v>
      </c>
      <c r="N25" s="427">
        <f>IFERROR(J25*IF(AND(ISNUMBER(SEARCH(TEXT(C25,"ddd"),$G$11)),Data!$F$2),$G$14,$D$14)+K25*$G$14,"")</f>
        <v>0</v>
      </c>
      <c r="O25" s="141">
        <f t="shared" si="2"/>
        <v>187.5</v>
      </c>
      <c r="P25" s="89"/>
      <c r="Q25" s="89"/>
    </row>
    <row r="26" spans="2:34">
      <c r="B26" s="69"/>
      <c r="C26" s="429">
        <f t="shared" si="3"/>
        <v>46285</v>
      </c>
      <c r="D26" s="430">
        <f t="shared" si="3"/>
        <v>46285</v>
      </c>
      <c r="E26" s="424">
        <v>0</v>
      </c>
      <c r="F26" s="424">
        <v>0</v>
      </c>
      <c r="G26" s="424">
        <f t="shared" si="0"/>
        <v>0</v>
      </c>
      <c r="H26" s="424">
        <v>0</v>
      </c>
      <c r="I26" s="425">
        <v>0</v>
      </c>
      <c r="J26" s="425">
        <f t="shared" si="1"/>
        <v>0</v>
      </c>
      <c r="K26" s="425">
        <f t="shared" si="4"/>
        <v>0</v>
      </c>
      <c r="L26" s="97">
        <v>0</v>
      </c>
      <c r="M26" s="98">
        <f>(D14/60)*0</f>
        <v>0</v>
      </c>
      <c r="N26" s="251">
        <f>IFERROR(J26*IF(AND(ISNUMBER(SEARCH(TEXT(C26,"ddd"),$G$11)),Data!$F$2),$G$14,$D$14)+K26*$G$14,"")</f>
        <v>0</v>
      </c>
      <c r="O26" s="141">
        <f t="shared" si="2"/>
        <v>0</v>
      </c>
      <c r="P26" s="89"/>
      <c r="Q26" s="89"/>
    </row>
    <row r="27" spans="2:34">
      <c r="B27" s="69">
        <v>9</v>
      </c>
      <c r="C27" s="429">
        <f t="shared" si="3"/>
        <v>46286</v>
      </c>
      <c r="D27" s="430">
        <f t="shared" si="3"/>
        <v>46286</v>
      </c>
      <c r="E27" s="424">
        <v>0.33333333333333331</v>
      </c>
      <c r="F27" s="424">
        <v>0</v>
      </c>
      <c r="G27" s="424">
        <f t="shared" si="0"/>
        <v>0.33333333333333331</v>
      </c>
      <c r="H27" s="424">
        <v>0.75</v>
      </c>
      <c r="I27" s="425">
        <v>1</v>
      </c>
      <c r="J27" s="425">
        <f t="shared" si="1"/>
        <v>9</v>
      </c>
      <c r="K27" s="425">
        <f t="shared" si="4"/>
        <v>0</v>
      </c>
      <c r="L27" s="426">
        <v>0</v>
      </c>
      <c r="M27" s="423">
        <f>(D14/60)*0</f>
        <v>0</v>
      </c>
      <c r="N27" s="427">
        <f>IFERROR(J27*IF(AND(ISNUMBER(SEARCH(TEXT(C27,"ddd"),$G$11)),Data!$F$2),$G$14,$D$14)+K27*$G$14,"")</f>
        <v>562.5</v>
      </c>
      <c r="O27" s="141">
        <f t="shared" si="2"/>
        <v>562.5</v>
      </c>
      <c r="P27" s="127"/>
      <c r="Q27" s="89"/>
    </row>
    <row r="28" spans="2:34">
      <c r="B28" s="69">
        <v>10</v>
      </c>
      <c r="C28" s="429">
        <f t="shared" si="3"/>
        <v>46287</v>
      </c>
      <c r="D28" s="430">
        <f t="shared" si="3"/>
        <v>46287</v>
      </c>
      <c r="E28" s="424">
        <v>0.33333333333333331</v>
      </c>
      <c r="F28" s="424">
        <v>0</v>
      </c>
      <c r="G28" s="424">
        <f t="shared" si="0"/>
        <v>0.33333333333333331</v>
      </c>
      <c r="H28" s="424">
        <v>0.75</v>
      </c>
      <c r="I28" s="425">
        <v>1</v>
      </c>
      <c r="J28" s="425">
        <f t="shared" si="1"/>
        <v>9</v>
      </c>
      <c r="K28" s="425">
        <f t="shared" si="4"/>
        <v>0</v>
      </c>
      <c r="L28" s="426">
        <v>0</v>
      </c>
      <c r="M28" s="423">
        <f>(D14/60)*0</f>
        <v>0</v>
      </c>
      <c r="N28" s="427">
        <f>IFERROR(J28*IF(AND(ISNUMBER(SEARCH(TEXT(C28,"ddd"),$G$11)),Data!$F$2),$G$14,$D$14)+K28*$G$14,"")</f>
        <v>562.5</v>
      </c>
      <c r="O28" s="141">
        <f t="shared" si="2"/>
        <v>562.5</v>
      </c>
      <c r="Q28" s="89"/>
    </row>
    <row r="29" spans="2:34">
      <c r="B29" s="69">
        <v>11</v>
      </c>
      <c r="C29" s="429">
        <f t="shared" si="3"/>
        <v>46288</v>
      </c>
      <c r="D29" s="430">
        <f t="shared" si="3"/>
        <v>46288</v>
      </c>
      <c r="E29" s="424">
        <v>0.33333333333333331</v>
      </c>
      <c r="F29" s="424">
        <v>0</v>
      </c>
      <c r="G29" s="424">
        <f t="shared" si="0"/>
        <v>0.33333333333333331</v>
      </c>
      <c r="H29" s="424">
        <v>0.75</v>
      </c>
      <c r="I29" s="425">
        <v>1</v>
      </c>
      <c r="J29" s="425">
        <f t="shared" si="1"/>
        <v>9</v>
      </c>
      <c r="K29" s="425">
        <v>0</v>
      </c>
      <c r="L29" s="426">
        <v>0</v>
      </c>
      <c r="M29" s="423">
        <f>(D14/60)*0</f>
        <v>0</v>
      </c>
      <c r="N29" s="427">
        <f>IFERROR(J29*IF(AND(ISNUMBER(SEARCH(TEXT(C29,"ddd"),$G$11)),Data!$F$2),$G$14,$D$14)+K29*$G$14,"")</f>
        <v>562.5</v>
      </c>
      <c r="O29" s="141">
        <f>M29+N29</f>
        <v>562.5</v>
      </c>
      <c r="P29" s="95">
        <f>O28-O29</f>
        <v>0</v>
      </c>
      <c r="Q29" s="89"/>
    </row>
    <row r="30" spans="2:34">
      <c r="B30" s="69">
        <v>12</v>
      </c>
      <c r="C30" s="429">
        <f t="shared" si="3"/>
        <v>46289</v>
      </c>
      <c r="D30" s="430">
        <f t="shared" si="3"/>
        <v>46289</v>
      </c>
      <c r="E30" s="424">
        <v>0.33333333333333331</v>
      </c>
      <c r="F30" s="424">
        <v>0</v>
      </c>
      <c r="G30" s="424">
        <f>E30-F30</f>
        <v>0.33333333333333331</v>
      </c>
      <c r="H30" s="424">
        <v>0.75</v>
      </c>
      <c r="I30" s="425">
        <v>1</v>
      </c>
      <c r="J30" s="425">
        <f t="shared" si="1"/>
        <v>9</v>
      </c>
      <c r="K30" s="425">
        <v>2</v>
      </c>
      <c r="L30" s="426">
        <f>E30-B14</f>
        <v>0</v>
      </c>
      <c r="M30" s="423">
        <f>(D14/60)*0</f>
        <v>0</v>
      </c>
      <c r="N30" s="427">
        <f>IFERROR(J30*IF(AND(ISNUMBER(SEARCH(TEXT(C30,"ddd"),$G$11)),Data!$F$2),$G$14,$D$14)+K30*$G$14,"")</f>
        <v>718.75</v>
      </c>
      <c r="O30" s="141">
        <f t="shared" si="2"/>
        <v>718.75</v>
      </c>
      <c r="P30" s="127"/>
      <c r="Q30" s="89"/>
    </row>
    <row r="31" spans="2:34">
      <c r="B31" s="69">
        <v>13</v>
      </c>
      <c r="C31" s="429">
        <f t="shared" si="3"/>
        <v>46290</v>
      </c>
      <c r="D31" s="430">
        <f t="shared" si="3"/>
        <v>46290</v>
      </c>
      <c r="E31" s="424">
        <v>0.33333333333333331</v>
      </c>
      <c r="F31" s="424">
        <v>0</v>
      </c>
      <c r="G31" s="424">
        <f>E31-F31</f>
        <v>0.33333333333333331</v>
      </c>
      <c r="H31" s="424">
        <v>0.75</v>
      </c>
      <c r="I31" s="425">
        <v>1</v>
      </c>
      <c r="J31" s="425">
        <f t="shared" si="1"/>
        <v>9</v>
      </c>
      <c r="K31" s="425">
        <v>4</v>
      </c>
      <c r="L31" s="426">
        <f>E31-B14</f>
        <v>0</v>
      </c>
      <c r="M31" s="423">
        <f>(D14/60)*0</f>
        <v>0</v>
      </c>
      <c r="N31" s="427">
        <f>IFERROR(J31*IF(AND(ISNUMBER(SEARCH(TEXT(C31,"ddd"),$G$11)),Data!$F$2),$G$14,$D$14)+K31*$G$14,"")</f>
        <v>875</v>
      </c>
      <c r="O31" s="141">
        <f>M31+N31</f>
        <v>875</v>
      </c>
      <c r="P31" s="95">
        <f>O28-O31</f>
        <v>-312.5</v>
      </c>
    </row>
    <row r="32" spans="2:34">
      <c r="B32" s="66"/>
      <c r="C32" s="442"/>
      <c r="D32" s="443"/>
      <c r="E32" s="444"/>
      <c r="F32" s="444"/>
      <c r="G32" s="593" t="s">
        <v>182</v>
      </c>
      <c r="H32" s="594"/>
      <c r="I32" s="445">
        <f>SUM(I17:I31)</f>
        <v>5</v>
      </c>
      <c r="J32" s="445">
        <f>SUM(J17:J31)</f>
        <v>45</v>
      </c>
      <c r="K32" s="445">
        <f>SUM(K17:K31)</f>
        <v>6</v>
      </c>
      <c r="L32" s="445">
        <f>SUM(L17:L31)</f>
        <v>0</v>
      </c>
      <c r="M32" s="445">
        <f>SUM(M17:M31)</f>
        <v>3750</v>
      </c>
      <c r="N32" s="441"/>
      <c r="O32" s="165">
        <f>SUM(O17:O31)</f>
        <v>7031.25</v>
      </c>
      <c r="P32" s="165">
        <f>SUM(P17:P31)</f>
        <v>-312.5</v>
      </c>
      <c r="Q32" s="95">
        <f>O32+P32</f>
        <v>6718.75</v>
      </c>
    </row>
    <row r="33" spans="2:17">
      <c r="B33" s="66"/>
      <c r="C33" s="76"/>
      <c r="D33" s="77"/>
      <c r="E33" s="144"/>
      <c r="F33" s="144"/>
      <c r="G33" s="81" t="s">
        <v>39</v>
      </c>
      <c r="H33" s="82"/>
      <c r="I33" s="83"/>
      <c r="J33" s="84"/>
      <c r="K33" s="116"/>
      <c r="L33" s="102">
        <f>(D14/60)*0</f>
        <v>0</v>
      </c>
      <c r="M33" s="118"/>
      <c r="N33" s="166">
        <f>D14*H14</f>
        <v>6562.5</v>
      </c>
      <c r="O33" s="95"/>
      <c r="P33" s="95"/>
      <c r="Q33" s="95"/>
    </row>
    <row r="34" spans="2:17">
      <c r="B34" s="65"/>
      <c r="C34" s="65"/>
      <c r="D34" s="85"/>
      <c r="E34" s="85"/>
      <c r="F34" s="85"/>
      <c r="G34" s="592" t="s">
        <v>183</v>
      </c>
      <c r="H34" s="592"/>
      <c r="I34" s="80"/>
      <c r="J34" s="80">
        <f>H14-J32</f>
        <v>60</v>
      </c>
      <c r="K34" s="65"/>
      <c r="L34" s="120"/>
      <c r="M34" s="65"/>
      <c r="N34" s="121">
        <f>M32</f>
        <v>3750</v>
      </c>
      <c r="O34" s="151">
        <f>O32-O33</f>
        <v>7031.25</v>
      </c>
      <c r="P34" s="95"/>
      <c r="Q34" s="95"/>
    </row>
    <row r="35" spans="2:17">
      <c r="B35" s="65"/>
      <c r="C35" s="65"/>
      <c r="D35" s="85"/>
      <c r="E35" s="145"/>
      <c r="F35" s="145"/>
      <c r="G35" s="78" t="s">
        <v>41</v>
      </c>
      <c r="H35" s="79"/>
      <c r="I35" s="66"/>
      <c r="J35" s="66"/>
      <c r="K35" s="80"/>
      <c r="L35" s="80"/>
      <c r="M35" s="80"/>
      <c r="N35" s="121">
        <f>N33-N34</f>
        <v>2812.5</v>
      </c>
      <c r="O35" s="95"/>
      <c r="P35" s="95"/>
      <c r="Q35" s="95"/>
    </row>
    <row r="36" spans="2:17">
      <c r="B36" s="65"/>
      <c r="C36" s="65"/>
      <c r="D36" s="85"/>
      <c r="E36" s="146"/>
      <c r="F36" s="146"/>
      <c r="G36" s="604" t="s">
        <v>184</v>
      </c>
      <c r="H36" s="605"/>
      <c r="I36" s="80"/>
      <c r="J36" s="401"/>
      <c r="K36" s="122"/>
      <c r="L36" s="122"/>
      <c r="M36" s="122"/>
      <c r="N36" s="123">
        <f>G14*K32</f>
        <v>468.75</v>
      </c>
      <c r="O36" s="95"/>
    </row>
    <row r="37" spans="2:17">
      <c r="B37" s="65"/>
      <c r="C37" s="65"/>
      <c r="D37" s="85"/>
      <c r="E37" s="146"/>
      <c r="F37" s="146"/>
      <c r="G37" s="86" t="s">
        <v>185</v>
      </c>
      <c r="H37" s="87"/>
      <c r="I37" s="80"/>
      <c r="J37" s="66"/>
      <c r="K37" s="122"/>
      <c r="L37" s="122"/>
      <c r="M37" s="122"/>
      <c r="N37" s="123">
        <f>N53</f>
        <v>0</v>
      </c>
      <c r="O37" s="95"/>
    </row>
    <row r="38" spans="2:17">
      <c r="B38" s="65"/>
      <c r="C38" s="65"/>
      <c r="D38" s="85"/>
      <c r="E38" s="145"/>
      <c r="F38" s="145"/>
      <c r="G38" s="597" t="s">
        <v>186</v>
      </c>
      <c r="H38" s="598"/>
      <c r="I38" s="66"/>
      <c r="J38" s="66"/>
      <c r="K38" s="66"/>
      <c r="L38" s="66"/>
      <c r="M38" s="66"/>
      <c r="N38" s="124">
        <f>N35+N36+N37</f>
        <v>3281.25</v>
      </c>
      <c r="O38" s="95"/>
    </row>
    <row r="39" spans="2:17">
      <c r="D39" s="88"/>
      <c r="E39" s="88"/>
      <c r="F39" s="88"/>
      <c r="G39" s="589"/>
      <c r="H39" s="589"/>
      <c r="I39" s="90"/>
      <c r="J39" s="90"/>
      <c r="K39" s="125"/>
      <c r="L39" s="125"/>
      <c r="M39" s="125"/>
      <c r="N39" s="126"/>
      <c r="O39" s="127"/>
    </row>
    <row r="40" spans="2:17">
      <c r="D40" s="91"/>
      <c r="E40" s="91"/>
      <c r="F40" s="91"/>
      <c r="M40" t="s">
        <v>196</v>
      </c>
    </row>
    <row r="41" spans="2:17">
      <c r="B41" s="590" t="s">
        <v>187</v>
      </c>
      <c r="C41" s="590"/>
      <c r="D41" s="590"/>
      <c r="E41" s="590"/>
      <c r="F41" s="590"/>
      <c r="G41" s="590"/>
      <c r="H41" s="590"/>
      <c r="I41" s="590"/>
      <c r="J41" s="590"/>
      <c r="K41" s="590"/>
      <c r="L41" s="590"/>
      <c r="M41" s="590"/>
      <c r="N41" s="590"/>
    </row>
    <row r="42" spans="2:17">
      <c r="D42" s="91"/>
      <c r="E42" s="91"/>
      <c r="F42" s="91"/>
    </row>
    <row r="43" spans="2:17">
      <c r="D43" s="91" t="s">
        <v>188</v>
      </c>
      <c r="E43" s="91"/>
      <c r="F43" s="91"/>
      <c r="N43" s="95"/>
    </row>
    <row r="44" spans="2:17">
      <c r="D44" s="54" t="s">
        <v>10</v>
      </c>
      <c r="E44" s="54"/>
      <c r="F44" s="54"/>
      <c r="G44" s="54" t="s">
        <v>11</v>
      </c>
      <c r="H44" s="54" t="s">
        <v>12</v>
      </c>
      <c r="I44" s="55" t="s">
        <v>13</v>
      </c>
    </row>
    <row r="45" spans="2:17">
      <c r="D45" s="56">
        <v>2026</v>
      </c>
      <c r="E45" s="56"/>
      <c r="F45" s="56"/>
      <c r="G45" s="56" t="s">
        <v>264</v>
      </c>
      <c r="H45" s="56">
        <v>20</v>
      </c>
      <c r="I45" s="56" t="s">
        <v>15</v>
      </c>
    </row>
    <row r="46" spans="2:17">
      <c r="D46" s="57"/>
      <c r="E46" s="57"/>
      <c r="F46" s="57"/>
      <c r="G46" s="57"/>
    </row>
    <row r="47" spans="2:17" ht="33.75">
      <c r="D47" s="159" t="s">
        <v>16</v>
      </c>
      <c r="E47" s="159"/>
      <c r="F47" s="159"/>
      <c r="G47" s="159" t="s">
        <v>17</v>
      </c>
      <c r="H47" s="159" t="s">
        <v>18</v>
      </c>
      <c r="I47" s="159" t="s">
        <v>19</v>
      </c>
    </row>
    <row r="48" spans="2:17">
      <c r="D48" s="61">
        <v>0.33333333333333298</v>
      </c>
      <c r="E48" s="61"/>
      <c r="F48" s="61"/>
      <c r="G48" s="62">
        <v>10</v>
      </c>
      <c r="H48" s="63">
        <f>D14</f>
        <v>62.5</v>
      </c>
      <c r="I48" s="130">
        <f>(H48*30%)+H48</f>
        <v>81.25</v>
      </c>
    </row>
    <row r="50" spans="3:14">
      <c r="C50" s="131" t="s">
        <v>20</v>
      </c>
      <c r="D50" s="131" t="s">
        <v>12</v>
      </c>
      <c r="E50" s="131"/>
      <c r="F50" s="131"/>
      <c r="G50" s="131" t="s">
        <v>21</v>
      </c>
      <c r="H50" s="131" t="s">
        <v>22</v>
      </c>
      <c r="I50" s="131" t="s">
        <v>23</v>
      </c>
      <c r="J50" s="131" t="s">
        <v>24</v>
      </c>
      <c r="K50" s="131" t="s">
        <v>25</v>
      </c>
      <c r="L50" s="131"/>
      <c r="M50" s="131"/>
      <c r="N50" s="131" t="s">
        <v>26</v>
      </c>
    </row>
    <row r="51" spans="3:14">
      <c r="C51" s="70" t="s">
        <v>353</v>
      </c>
      <c r="D51" s="71">
        <v>46101</v>
      </c>
      <c r="E51" s="71"/>
      <c r="F51" s="71"/>
      <c r="G51" s="72">
        <v>0.33333333333333331</v>
      </c>
      <c r="H51" s="72">
        <v>0.75</v>
      </c>
      <c r="I51" s="73">
        <v>1</v>
      </c>
      <c r="J51" s="73">
        <f>IFERROR(IF(AND(G51&lt;&gt;"",H51&lt;&gt;""),IF(G51&gt;$B$14+TIME($C$14,($C$14-INT($C$14))*60,0),0,IF(H51&gt;$B$14+TIME($C$14,($C$14-INT($C$14))*60,0),MIN(TIME($C$14,($C$14-INT($C$14))*60,0),($B$14+TIME($C$14,($C$14-INT($C$14))*60,0)-G51)),MIN(IF((H51-$B$14)&lt;0,0,(H51-$B$14)),(H51-G51))))*24,"")-I51,"")</f>
        <v>9</v>
      </c>
      <c r="K51" s="73">
        <f>IF(AND(G51&lt;&gt;"",H51&lt;&gt;""),((IF(G51&lt;$D$48,MIN($D$48-G51,H51-G51),0)+IF(H51&gt;$D$48+TIME($G$48,($G$48-INT($G$48))*60,0),MIN((H51-$D$48-TIME($G$48,($G$48-INT($G$48))*60,0)),(H51-G51)),0))*24),"")</f>
        <v>0</v>
      </c>
      <c r="L51" s="73"/>
      <c r="M51" s="73"/>
      <c r="N51" s="99">
        <f>(J51*H48)+562.5*30%</f>
        <v>731.25</v>
      </c>
    </row>
    <row r="52" spans="3:14">
      <c r="C52" s="70" t="s">
        <v>445</v>
      </c>
      <c r="D52" s="71">
        <v>23</v>
      </c>
      <c r="E52" s="71"/>
      <c r="F52" s="71"/>
      <c r="G52" s="72">
        <v>0</v>
      </c>
      <c r="H52" s="72">
        <v>0</v>
      </c>
      <c r="I52" s="73">
        <v>0</v>
      </c>
      <c r="J52" s="73">
        <f>IFERROR(IF(AND(G52&lt;&gt;"",H52&lt;&gt;""),IF(G52&gt;$B$14+TIME($C$14,($C$14-INT($C$14))*60,0),0,IF(H52&gt;$B$14+TIME($C$14,($C$14-INT($C$14))*60,0),MIN(TIME($C$14,($C$14-INT($C$14))*60,0),($B$14+TIME($C$14,($C$14-INT($C$14))*60,0)-G52)),MIN(IF((H52-$B$14)&lt;0,0,(H52-$B$14)),(H52-G52))))*24,"")-I52,"")</f>
        <v>0</v>
      </c>
      <c r="K52" s="73">
        <f>IF(AND(G52&lt;&gt;"",H52&lt;&gt;""),((IF(G52&lt;$D$48,MIN($D$48-G52,H52-G52),0)+IF(H52&gt;$D$48+TIME($G$48,($G$48-INT($G$48))*60,0),MIN((H52-$D$48-TIME($G$48,($G$48-INT($G$48))*60,0)),(H52-G52)),0))*24),"")</f>
        <v>0</v>
      </c>
      <c r="L52" s="73"/>
      <c r="M52" s="73"/>
      <c r="N52" s="99">
        <v>0</v>
      </c>
    </row>
    <row r="53" spans="3:14"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318"/>
    </row>
    <row r="54" spans="3:14" ht="12" customHeight="1">
      <c r="N54" s="138"/>
    </row>
    <row r="55" spans="3:14">
      <c r="N55" s="138"/>
    </row>
    <row r="56" spans="3:14">
      <c r="D56" s="591">
        <v>46255</v>
      </c>
      <c r="E56" s="591"/>
      <c r="F56" s="591"/>
      <c r="G56" s="88">
        <v>562.5</v>
      </c>
      <c r="H56" s="148" t="s">
        <v>280</v>
      </c>
      <c r="I56" s="254"/>
      <c r="N56" s="138"/>
    </row>
    <row r="57" spans="3:14">
      <c r="E57" s="88"/>
      <c r="F57" s="88"/>
      <c r="G57" s="88">
        <f>G56*H57</f>
        <v>168.75</v>
      </c>
      <c r="H57" s="253">
        <v>0.3</v>
      </c>
      <c r="I57" s="254"/>
      <c r="N57" s="138"/>
    </row>
    <row r="58" spans="3:14">
      <c r="E58" s="91"/>
      <c r="F58" s="91"/>
      <c r="G58" s="91"/>
      <c r="N58" s="138"/>
    </row>
    <row r="59" spans="3:14">
      <c r="E59" s="91"/>
      <c r="F59" s="91"/>
      <c r="G59" s="91"/>
      <c r="H59" s="91">
        <f>G57</f>
        <v>168.75</v>
      </c>
      <c r="N59" s="138"/>
    </row>
    <row r="60" spans="3:14">
      <c r="D60" s="132"/>
      <c r="E60" s="132"/>
      <c r="F60" s="132"/>
      <c r="G60" s="133"/>
      <c r="H60" s="133"/>
      <c r="I60" s="133"/>
      <c r="N60" s="138"/>
    </row>
    <row r="61" spans="3:14">
      <c r="D61" s="132"/>
      <c r="E61" s="132"/>
      <c r="F61" s="132"/>
      <c r="G61" s="133"/>
      <c r="H61" s="133"/>
      <c r="I61" s="133"/>
      <c r="N61" s="138"/>
    </row>
    <row r="62" spans="3:14">
      <c r="D62" s="132"/>
      <c r="E62" s="132"/>
      <c r="F62" s="132"/>
      <c r="G62" s="133"/>
      <c r="H62" s="133"/>
      <c r="I62" s="133"/>
    </row>
    <row r="63" spans="3:14">
      <c r="D63" s="132"/>
      <c r="E63" s="132"/>
      <c r="F63" s="132"/>
      <c r="G63" s="133"/>
      <c r="H63" s="133"/>
      <c r="I63" s="133"/>
    </row>
    <row r="64" spans="3:14">
      <c r="F64" s="132"/>
      <c r="G64" s="133"/>
      <c r="H64" s="133"/>
      <c r="I64" s="133"/>
    </row>
    <row r="67" spans="3:3">
      <c r="C67" s="91" t="s">
        <v>141</v>
      </c>
    </row>
    <row r="68" spans="3:3">
      <c r="C68" t="s">
        <v>66</v>
      </c>
    </row>
    <row r="69" spans="3:3">
      <c r="C69" s="91"/>
    </row>
  </sheetData>
  <mergeCells count="12">
    <mergeCell ref="D56:F56"/>
    <mergeCell ref="A6:N6"/>
    <mergeCell ref="C7:D7"/>
    <mergeCell ref="M7:O7"/>
    <mergeCell ref="C8:D8"/>
    <mergeCell ref="M8:O8"/>
    <mergeCell ref="G32:H32"/>
    <mergeCell ref="G34:H34"/>
    <mergeCell ref="G36:H36"/>
    <mergeCell ref="G38:H38"/>
    <mergeCell ref="G39:H39"/>
    <mergeCell ref="B41:N41"/>
  </mergeCells>
  <conditionalFormatting sqref="C17:D17 N17:N31">
    <cfRule type="expression" dxfId="255" priority="3">
      <formula>ISNUMBER(SEARCH(TEXT($C17,"ddd"),$G$10))</formula>
    </cfRule>
  </conditionalFormatting>
  <conditionalFormatting sqref="C18:D31">
    <cfRule type="expression" dxfId="254" priority="4">
      <formula>ISNUMBER(SEARCH(TEXT($C18,"ddd"),$G$11))</formula>
    </cfRule>
  </conditionalFormatting>
  <conditionalFormatting sqref="C51:N52">
    <cfRule type="expression" dxfId="253" priority="1">
      <formula>ISNUMBER(SEARCH(TEXT($C51,"ddd"),$G$11))</formula>
    </cfRule>
  </conditionalFormatting>
  <conditionalFormatting sqref="E17:K31">
    <cfRule type="expression" dxfId="252" priority="2">
      <formula>ISNUMBER(SEARCH(TEXT($C17,"ddd"),$G$11))</formula>
    </cfRule>
  </conditionalFormatting>
  <dataValidations count="5">
    <dataValidation type="list" allowBlank="1" showInputMessage="1" showErrorMessage="1" sqref="G11" xr:uid="{46F5EF64-67EB-4B83-83AE-F2F74479D6DC}"/>
    <dataValidation type="list" allowBlank="1" showInputMessage="1" showErrorMessage="1" sqref="D11 H45" xr:uid="{0496A58B-6518-41DB-A162-68812C2C93E6}">
      <formula1>DateCalc</formula1>
    </dataValidation>
    <dataValidation type="custom" allowBlank="1" showInputMessage="1" showErrorMessage="1" sqref="H51:H52 H17:H31" xr:uid="{9312B6E3-36E2-4148-A502-C84C1BEB7B1A}">
      <formula1>AND($H17&lt;=1,ISNUMBER($H17),($H17&gt;=$G17))</formula1>
    </dataValidation>
    <dataValidation type="custom" allowBlank="1" showInputMessage="1" showErrorMessage="1" sqref="G51:G52 E17:G31" xr:uid="{BEC53372-FB46-4F8C-8BEB-F338F34034AF}">
      <formula1>AND($G17&lt;=1,ISNUMBER($G17))</formula1>
    </dataValidation>
    <dataValidation type="list" allowBlank="1" showInputMessage="1" showErrorMessage="1" sqref="E11:F11" xr:uid="{B26BB851-D17E-4506-8375-2B99F3A4F738}">
      <formula1>ELEAZAR!DateCalc</formula1>
    </dataValidation>
  </dataValidations>
  <pageMargins left="1.07083333333333" right="0.25" top="0.24645833333333333" bottom="0.29385416666666669" header="0.29861111111111099" footer="0.29861111111111099"/>
  <pageSetup paperSize="9" scale="91" orientation="landscape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56385" r:id="rId4" name="Check Box 1">
              <controlPr defaultSize="0" print="0" autoPict="0">
                <anchor moveWithCells="1">
                  <from>
                    <xdr:col>7</xdr:col>
                    <xdr:colOff>180975</xdr:colOff>
                    <xdr:row>9</xdr:row>
                    <xdr:rowOff>28575</xdr:rowOff>
                  </from>
                  <to>
                    <xdr:col>8</xdr:col>
                    <xdr:colOff>571500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9ED709A-6380-43E4-B310-FCDC136A5D04}">
          <x14:formula1>
            <xm:f>Data!$A$2:$A$15</xm:f>
          </x14:formula1>
          <xm:sqref>B11 D45:F45</xm:sqref>
        </x14:dataValidation>
        <x14:dataValidation type="list" allowBlank="1" showInputMessage="1" showErrorMessage="1" xr:uid="{FEA8C235-E310-4228-BB1A-DF46DF4417DF}">
          <x14:formula1>
            <xm:f>Data!$B$2:$B$13</xm:f>
          </x14:formula1>
          <xm:sqref>C11 G45</xm:sqref>
        </x14:dataValidation>
        <x14:dataValidation type="list" allowBlank="1" showInputMessage="1" showErrorMessage="1" xr:uid="{543223D3-322F-49B2-8C84-52A5EAAAA920}">
          <x14:formula1>
            <xm:f>Data!$D$2:$D$16</xm:f>
          </x14:formula1>
          <xm:sqref>I45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5:AH69"/>
  <sheetViews>
    <sheetView showGridLines="0" showWhiteSpace="0" view="pageLayout" topLeftCell="A4" zoomScale="140" zoomScaleNormal="100" zoomScalePageLayoutView="140" workbookViewId="0">
      <selection activeCell="N33" sqref="N33"/>
    </sheetView>
  </sheetViews>
  <sheetFormatPr defaultColWidth="9" defaultRowHeight="12.75"/>
  <cols>
    <col min="1" max="1" width="1.625" customWidth="1"/>
    <col min="2" max="2" width="5.375" customWidth="1"/>
    <col min="3" max="3" width="7.125" customWidth="1"/>
    <col min="4" max="6" width="7.625" customWidth="1"/>
    <col min="7" max="7" width="10.125" customWidth="1"/>
    <col min="8" max="8" width="9.625" customWidth="1"/>
    <col min="9" max="9" width="8.125" customWidth="1"/>
    <col min="10" max="10" width="10.125" customWidth="1"/>
    <col min="11" max="11" width="7.875" customWidth="1"/>
    <col min="12" max="12" width="10.125" customWidth="1"/>
    <col min="13" max="13" width="10.375" customWidth="1"/>
    <col min="14" max="14" width="12.5" customWidth="1"/>
    <col min="15" max="15" width="16.875" customWidth="1"/>
    <col min="18" max="18" width="11.125" customWidth="1"/>
  </cols>
  <sheetData>
    <row r="5" spans="1:21" ht="25.5" customHeight="1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21" s="47" customFormat="1" ht="25.5" customHeight="1">
      <c r="A6" s="603"/>
      <c r="B6" s="603"/>
      <c r="C6" s="603"/>
      <c r="D6" s="603"/>
      <c r="E6" s="603"/>
      <c r="F6" s="603"/>
      <c r="G6" s="603"/>
      <c r="H6" s="603"/>
      <c r="I6" s="603"/>
      <c r="J6" s="603"/>
      <c r="K6" s="603"/>
      <c r="L6" s="603"/>
      <c r="M6" s="603"/>
      <c r="N6" s="603"/>
    </row>
    <row r="7" spans="1:21" ht="18.75" customHeight="1">
      <c r="C7" s="527" t="s">
        <v>3</v>
      </c>
      <c r="D7" s="527"/>
      <c r="E7" s="49"/>
      <c r="F7" s="49"/>
      <c r="G7" s="50" t="s">
        <v>366</v>
      </c>
      <c r="H7" s="51"/>
      <c r="K7" s="49" t="s">
        <v>174</v>
      </c>
      <c r="M7" s="599" t="str">
        <f>PAALAN!L7</f>
        <v>September  11-25, 2026</v>
      </c>
      <c r="N7" s="599"/>
      <c r="O7" s="599"/>
    </row>
    <row r="8" spans="1:21" ht="18.75" customHeight="1">
      <c r="C8" s="527" t="s">
        <v>175</v>
      </c>
      <c r="D8" s="527"/>
      <c r="E8" s="49"/>
      <c r="F8" s="49"/>
      <c r="G8" s="50" t="s">
        <v>362</v>
      </c>
      <c r="H8" s="51"/>
      <c r="K8" s="49" t="s">
        <v>176</v>
      </c>
      <c r="L8" s="92"/>
      <c r="M8" s="600" t="str">
        <f>PAALAN!L8</f>
        <v>9/31/2026</v>
      </c>
      <c r="N8" s="600"/>
      <c r="O8" s="600"/>
    </row>
    <row r="9" spans="1:21">
      <c r="C9" s="52"/>
      <c r="D9" s="53"/>
      <c r="E9" s="53"/>
      <c r="F9" s="53"/>
      <c r="G9" s="53"/>
    </row>
    <row r="10" spans="1:21">
      <c r="B10" s="54" t="s">
        <v>10</v>
      </c>
      <c r="C10" s="54" t="s">
        <v>11</v>
      </c>
      <c r="D10" s="54" t="s">
        <v>12</v>
      </c>
      <c r="E10" s="54"/>
      <c r="F10" s="54"/>
      <c r="G10" s="55" t="s">
        <v>13</v>
      </c>
    </row>
    <row r="11" spans="1:21">
      <c r="B11" s="56">
        <v>2026</v>
      </c>
      <c r="C11" s="56" t="s">
        <v>177</v>
      </c>
      <c r="D11" s="56">
        <v>11</v>
      </c>
      <c r="E11" s="56"/>
      <c r="F11" s="56"/>
      <c r="G11" s="56" t="s">
        <v>178</v>
      </c>
    </row>
    <row r="12" spans="1:21">
      <c r="B12" s="57"/>
      <c r="C12" s="57"/>
      <c r="H12" s="57"/>
      <c r="K12" s="57"/>
      <c r="L12" s="57"/>
      <c r="M12" s="57"/>
    </row>
    <row r="13" spans="1:21" ht="32.1" customHeight="1">
      <c r="B13" s="159" t="s">
        <v>16</v>
      </c>
      <c r="C13" s="159" t="s">
        <v>17</v>
      </c>
      <c r="D13" s="159" t="s">
        <v>18</v>
      </c>
      <c r="E13" s="160"/>
      <c r="F13" s="160"/>
      <c r="G13" s="160" t="s">
        <v>19</v>
      </c>
      <c r="H13" s="161" t="s">
        <v>179</v>
      </c>
      <c r="L13" s="93"/>
      <c r="M13" s="93"/>
      <c r="N13" s="94"/>
      <c r="O13" s="159" t="s">
        <v>16</v>
      </c>
      <c r="P13" s="159" t="s">
        <v>17</v>
      </c>
      <c r="Q13" s="159" t="s">
        <v>18</v>
      </c>
      <c r="R13" s="160"/>
      <c r="S13" s="160"/>
      <c r="T13" s="160" t="s">
        <v>19</v>
      </c>
      <c r="U13" s="161" t="s">
        <v>179</v>
      </c>
    </row>
    <row r="14" spans="1:21">
      <c r="B14" s="61">
        <v>0.33333333333333331</v>
      </c>
      <c r="C14" s="62">
        <v>10</v>
      </c>
      <c r="D14" s="63">
        <f>(13000/26)/8</f>
        <v>62.5</v>
      </c>
      <c r="E14" s="142"/>
      <c r="F14" s="142"/>
      <c r="G14" s="64">
        <f>(D14*25%)+D14</f>
        <v>78.125</v>
      </c>
      <c r="H14" s="65">
        <v>105</v>
      </c>
      <c r="I14" s="95"/>
      <c r="L14" s="57"/>
      <c r="M14" s="57"/>
      <c r="N14" s="95"/>
      <c r="O14" s="61">
        <v>0.375</v>
      </c>
      <c r="P14" s="62">
        <v>3</v>
      </c>
      <c r="Q14" s="63">
        <f>(16082.56/26)/8</f>
        <v>77.319999999999993</v>
      </c>
      <c r="R14" s="142"/>
      <c r="S14" s="142"/>
      <c r="T14" s="64">
        <f>(Q14*25%)+Q14</f>
        <v>96.649999999999991</v>
      </c>
      <c r="U14" s="65">
        <v>99</v>
      </c>
    </row>
    <row r="15" spans="1:21">
      <c r="N15" s="96"/>
    </row>
    <row r="16" spans="1:21" ht="23.25">
      <c r="B16" s="66"/>
      <c r="C16" s="67" t="s">
        <v>20</v>
      </c>
      <c r="D16" s="67" t="s">
        <v>12</v>
      </c>
      <c r="E16" s="67"/>
      <c r="F16" s="67"/>
      <c r="G16" s="67" t="s">
        <v>21</v>
      </c>
      <c r="H16" s="67" t="s">
        <v>22</v>
      </c>
      <c r="I16" s="68" t="s">
        <v>23</v>
      </c>
      <c r="J16" s="68" t="s">
        <v>24</v>
      </c>
      <c r="K16" s="68" t="s">
        <v>25</v>
      </c>
      <c r="L16" s="67" t="s">
        <v>180</v>
      </c>
      <c r="M16" s="134" t="s">
        <v>181</v>
      </c>
      <c r="N16" s="67" t="s">
        <v>26</v>
      </c>
    </row>
    <row r="17" spans="2:34">
      <c r="B17" s="69">
        <v>1</v>
      </c>
      <c r="C17" s="429">
        <f>DATE($B$11,MATCH($C$11,Data!$B$2:$B$13,0),BUNGAY!$D$11)</f>
        <v>46276</v>
      </c>
      <c r="D17" s="430">
        <f>DATE($B$11,MATCH($C$11,Data!$B$2:$B$13,0),BUNGAY!$D$11)</f>
        <v>46276</v>
      </c>
      <c r="E17" s="424">
        <v>0.33333333333333331</v>
      </c>
      <c r="F17" s="424">
        <v>0</v>
      </c>
      <c r="G17" s="424">
        <f t="shared" ref="G17:G29" si="0">E17-F17</f>
        <v>0.33333333333333331</v>
      </c>
      <c r="H17" s="424">
        <v>0.75</v>
      </c>
      <c r="I17" s="425">
        <v>1</v>
      </c>
      <c r="J17" s="425">
        <f t="shared" ref="J17:J31" si="1">IFERROR(IF(AND(G17&lt;&gt;"",H17&lt;&gt;""),IF(G17&gt;$B$14+TIME($C$14,($C$14-INT($C$14))*60,0),0,IF(H17&gt;$B$14+TIME($C$14,($C$14-INT($C$14))*60,0),MIN(TIME($C$14,($C$14-INT($C$14))*60,0),($B$14+TIME($C$14,($C$14-INT($C$14))*60,0)-G17)),MIN(IF((H17-$B$14)&lt;0,0,(H17-$B$14)),(H17-G17))))*24,"")-I17,"")</f>
        <v>9</v>
      </c>
      <c r="K17" s="425">
        <v>0</v>
      </c>
      <c r="L17" s="426">
        <f>E17-B14</f>
        <v>0</v>
      </c>
      <c r="M17" s="423">
        <f>(D14/60)*0</f>
        <v>0</v>
      </c>
      <c r="N17" s="427">
        <f>IFERROR(J17*IF(AND(ISNUMBER(SEARCH(TEXT(C17,"ddd"),$G$11)),Data!$F$2),$G$14,$D$14)+K17*$G$14,"")</f>
        <v>562.5</v>
      </c>
      <c r="O17" s="141">
        <f t="shared" ref="O17:O30" si="2">M17+N17</f>
        <v>562.5</v>
      </c>
      <c r="P17" s="100"/>
      <c r="Q17" s="89"/>
    </row>
    <row r="18" spans="2:34">
      <c r="B18" s="69">
        <v>2</v>
      </c>
      <c r="C18" s="429">
        <f t="shared" ref="C18:D31" si="3">C17+1</f>
        <v>46277</v>
      </c>
      <c r="D18" s="430">
        <f t="shared" si="3"/>
        <v>46277</v>
      </c>
      <c r="E18" s="424">
        <v>0.375</v>
      </c>
      <c r="F18" s="424">
        <v>0</v>
      </c>
      <c r="G18" s="424">
        <f t="shared" si="0"/>
        <v>0.375</v>
      </c>
      <c r="H18" s="424">
        <v>0.5</v>
      </c>
      <c r="I18" s="425">
        <v>0</v>
      </c>
      <c r="J18" s="425">
        <f t="shared" si="1"/>
        <v>3</v>
      </c>
      <c r="K18" s="425">
        <v>1</v>
      </c>
      <c r="L18" s="426">
        <v>0</v>
      </c>
      <c r="M18" s="423">
        <f>(D14/60)*0</f>
        <v>0</v>
      </c>
      <c r="N18" s="427">
        <f>IFERROR(J18*IF(AND(ISNUMBER(SEARCH(TEXT(C18,"ddd"),$G$11)),Data!$F$2),$G$14,$D$14)+K18*$G$14,"")</f>
        <v>265.625</v>
      </c>
      <c r="O18" s="141">
        <f t="shared" si="2"/>
        <v>265.625</v>
      </c>
      <c r="P18" s="89"/>
      <c r="Q18" s="89"/>
    </row>
    <row r="19" spans="2:34">
      <c r="B19" s="69"/>
      <c r="C19" s="429">
        <f t="shared" si="3"/>
        <v>46278</v>
      </c>
      <c r="D19" s="430">
        <f t="shared" si="3"/>
        <v>46278</v>
      </c>
      <c r="E19" s="424">
        <v>0</v>
      </c>
      <c r="F19" s="424">
        <v>0</v>
      </c>
      <c r="G19" s="424">
        <f t="shared" si="0"/>
        <v>0</v>
      </c>
      <c r="H19" s="424">
        <v>0</v>
      </c>
      <c r="I19" s="425">
        <v>0</v>
      </c>
      <c r="J19" s="425">
        <f t="shared" si="1"/>
        <v>0</v>
      </c>
      <c r="K19" s="425">
        <v>0</v>
      </c>
      <c r="L19" s="97">
        <v>0</v>
      </c>
      <c r="M19" s="98">
        <f>(D14/60)*0</f>
        <v>0</v>
      </c>
      <c r="N19" s="251">
        <f>IFERROR(J19*IF(AND(ISNUMBER(SEARCH(TEXT(C19,"ddd"),$G$11)),Data!$F$2),$G$14,$D$14)+K19*$G$14,"")</f>
        <v>0</v>
      </c>
      <c r="O19" s="141">
        <f t="shared" si="2"/>
        <v>0</v>
      </c>
      <c r="P19" s="100"/>
      <c r="Q19" s="104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</row>
    <row r="20" spans="2:34">
      <c r="B20" s="69">
        <v>3</v>
      </c>
      <c r="C20" s="429">
        <f t="shared" si="3"/>
        <v>46279</v>
      </c>
      <c r="D20" s="430">
        <f t="shared" si="3"/>
        <v>46279</v>
      </c>
      <c r="E20" s="424">
        <v>0.33333333333333331</v>
      </c>
      <c r="F20" s="424">
        <v>0</v>
      </c>
      <c r="G20" s="424">
        <f t="shared" si="0"/>
        <v>0.33333333333333331</v>
      </c>
      <c r="H20" s="424">
        <v>0.75</v>
      </c>
      <c r="I20" s="425">
        <v>1</v>
      </c>
      <c r="J20" s="425">
        <f t="shared" si="1"/>
        <v>9</v>
      </c>
      <c r="K20" s="425">
        <f t="shared" ref="K20:K28" si="4">IF(AND(G20&lt;&gt;"",H20&lt;&gt;""),((IF(G20&lt;$B$14,MIN($B$14-G20,H20-G20),0)+IF(H20&gt;$B$14+TIME($C$14,($C$14-INT($C$14))*60,0),MIN((H20-$B$14-TIME($C$14,($C$14-INT($C$14))*60,0)),(H20-G20)),0))*24),"")</f>
        <v>0</v>
      </c>
      <c r="L20" s="426">
        <f>E20-B14</f>
        <v>0</v>
      </c>
      <c r="M20" s="423">
        <f>(D14/60)*0</f>
        <v>0</v>
      </c>
      <c r="N20" s="427">
        <f>IFERROR(J20*IF(AND(ISNUMBER(SEARCH(TEXT(C20,"ddd"),$G$11)),Data!$F$2),$G$14,$D$14)+K20*$G$14,"")</f>
        <v>562.5</v>
      </c>
      <c r="O20" s="141">
        <f t="shared" si="2"/>
        <v>562.5</v>
      </c>
      <c r="P20" s="103"/>
      <c r="Q20" s="103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28"/>
    </row>
    <row r="21" spans="2:34">
      <c r="B21" s="69">
        <v>4</v>
      </c>
      <c r="C21" s="429">
        <f t="shared" si="3"/>
        <v>46280</v>
      </c>
      <c r="D21" s="430">
        <f t="shared" si="3"/>
        <v>46280</v>
      </c>
      <c r="E21" s="424">
        <v>0.33333333333333331</v>
      </c>
      <c r="F21" s="424">
        <v>0</v>
      </c>
      <c r="G21" s="424">
        <f t="shared" si="0"/>
        <v>0.33333333333333331</v>
      </c>
      <c r="H21" s="424">
        <v>0.75</v>
      </c>
      <c r="I21" s="425">
        <v>1</v>
      </c>
      <c r="J21" s="425">
        <f t="shared" si="1"/>
        <v>9</v>
      </c>
      <c r="K21" s="425">
        <f t="shared" si="4"/>
        <v>0</v>
      </c>
      <c r="L21" s="426">
        <v>0</v>
      </c>
      <c r="M21" s="423">
        <f>(D14/60)*0</f>
        <v>0</v>
      </c>
      <c r="N21" s="427">
        <f>IFERROR(J21*IF(AND(ISNUMBER(SEARCH(TEXT(C21,"ddd"),$G$11)),Data!$F$2),$G$14,$D$14)+K21*$G$14,"")</f>
        <v>562.5</v>
      </c>
      <c r="O21" s="141">
        <f t="shared" si="2"/>
        <v>562.5</v>
      </c>
      <c r="P21" s="162"/>
      <c r="Q21" s="108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4"/>
    </row>
    <row r="22" spans="2:34">
      <c r="B22" s="69">
        <v>5</v>
      </c>
      <c r="C22" s="429">
        <f t="shared" si="3"/>
        <v>46281</v>
      </c>
      <c r="D22" s="430">
        <f t="shared" si="3"/>
        <v>46281</v>
      </c>
      <c r="E22" s="424">
        <v>0.33333333333333331</v>
      </c>
      <c r="F22" s="424">
        <v>0</v>
      </c>
      <c r="G22" s="424">
        <f t="shared" si="0"/>
        <v>0.33333333333333331</v>
      </c>
      <c r="H22" s="424">
        <v>0.75</v>
      </c>
      <c r="I22" s="425">
        <v>1</v>
      </c>
      <c r="J22" s="425">
        <f t="shared" si="1"/>
        <v>9</v>
      </c>
      <c r="K22" s="425">
        <f t="shared" si="4"/>
        <v>0</v>
      </c>
      <c r="L22" s="426">
        <v>0</v>
      </c>
      <c r="M22" s="423">
        <f>(D14/60)*0</f>
        <v>0</v>
      </c>
      <c r="N22" s="427">
        <f>IFERROR(J22*IF(AND(ISNUMBER(SEARCH(TEXT(C22,"ddd"),$G$11)),Data!$F$2),$G$14,$D$14)+K22*$G$14,"")</f>
        <v>562.5</v>
      </c>
      <c r="O22" s="141">
        <f t="shared" si="2"/>
        <v>562.5</v>
      </c>
      <c r="P22" s="163">
        <f>O21-O22</f>
        <v>0</v>
      </c>
      <c r="Q22" s="135"/>
      <c r="R22" s="96">
        <v>0.40486111111111101</v>
      </c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4"/>
    </row>
    <row r="23" spans="2:34">
      <c r="B23" s="69">
        <v>6</v>
      </c>
      <c r="C23" s="429">
        <f t="shared" si="3"/>
        <v>46282</v>
      </c>
      <c r="D23" s="430">
        <f t="shared" si="3"/>
        <v>46282</v>
      </c>
      <c r="E23" s="424">
        <v>0.33333333333333331</v>
      </c>
      <c r="F23" s="424">
        <v>0</v>
      </c>
      <c r="G23" s="424">
        <f t="shared" si="0"/>
        <v>0.33333333333333331</v>
      </c>
      <c r="H23" s="424">
        <v>0.75</v>
      </c>
      <c r="I23" s="425">
        <v>1</v>
      </c>
      <c r="J23" s="425">
        <f t="shared" si="1"/>
        <v>9</v>
      </c>
      <c r="K23" s="425">
        <v>0</v>
      </c>
      <c r="L23" s="426">
        <f>E23-B14</f>
        <v>0</v>
      </c>
      <c r="M23" s="423">
        <f>(D14/60)*0</f>
        <v>0</v>
      </c>
      <c r="N23" s="427">
        <f>IFERROR(J23*IF(AND(ISNUMBER(SEARCH(TEXT(C23,"ddd"),$G$11)),Data!$F$2),$G$14,$D$14)+K23*$G$14,"")</f>
        <v>562.5</v>
      </c>
      <c r="O23" s="141">
        <f t="shared" si="2"/>
        <v>562.5</v>
      </c>
      <c r="P23" s="150"/>
      <c r="Q23" s="89"/>
      <c r="R23" s="96">
        <v>1.0416666666666701E-2</v>
      </c>
    </row>
    <row r="24" spans="2:34">
      <c r="B24" s="69">
        <v>7</v>
      </c>
      <c r="C24" s="429">
        <f t="shared" si="3"/>
        <v>46283</v>
      </c>
      <c r="D24" s="430">
        <f t="shared" si="3"/>
        <v>46283</v>
      </c>
      <c r="E24" s="424">
        <v>0.33333333333333331</v>
      </c>
      <c r="F24" s="424">
        <v>0</v>
      </c>
      <c r="G24" s="424">
        <f t="shared" si="0"/>
        <v>0.33333333333333331</v>
      </c>
      <c r="H24" s="424">
        <v>0.75</v>
      </c>
      <c r="I24" s="425">
        <v>1</v>
      </c>
      <c r="J24" s="425">
        <f t="shared" si="1"/>
        <v>9</v>
      </c>
      <c r="K24" s="425">
        <v>0</v>
      </c>
      <c r="L24" s="426">
        <f>E24-B14</f>
        <v>0</v>
      </c>
      <c r="M24" s="423">
        <f>(D14/60)*0</f>
        <v>0</v>
      </c>
      <c r="N24" s="427">
        <f>IFERROR(J24*IF(AND(ISNUMBER(SEARCH(TEXT(C24,"ddd"),$G$11)),Data!$F$2),$G$14,$D$14)+K24*$G$14,"")</f>
        <v>562.5</v>
      </c>
      <c r="O24" s="141">
        <f t="shared" si="2"/>
        <v>562.5</v>
      </c>
      <c r="P24" s="155"/>
      <c r="Q24" s="89"/>
      <c r="R24" s="129">
        <f>R22-R23</f>
        <v>0.39444444444444432</v>
      </c>
    </row>
    <row r="25" spans="2:34">
      <c r="B25" s="69">
        <v>8</v>
      </c>
      <c r="C25" s="429">
        <f t="shared" si="3"/>
        <v>46284</v>
      </c>
      <c r="D25" s="430">
        <f t="shared" si="3"/>
        <v>46284</v>
      </c>
      <c r="E25" s="424">
        <v>0.375</v>
      </c>
      <c r="F25" s="424">
        <v>0</v>
      </c>
      <c r="G25" s="424">
        <f t="shared" si="0"/>
        <v>0.375</v>
      </c>
      <c r="H25" s="424">
        <v>0.5</v>
      </c>
      <c r="I25" s="425">
        <v>0</v>
      </c>
      <c r="J25" s="425">
        <f t="shared" si="1"/>
        <v>3</v>
      </c>
      <c r="K25" s="425">
        <f t="shared" si="4"/>
        <v>0</v>
      </c>
      <c r="L25" s="426">
        <v>0</v>
      </c>
      <c r="M25" s="423">
        <f>(D14/60)*0</f>
        <v>0</v>
      </c>
      <c r="N25" s="427">
        <f>IFERROR(J25*IF(AND(ISNUMBER(SEARCH(TEXT(C25,"ddd"),$G$11)),Data!$F$2),$G$14,$D$14)+K25*$G$14,"")</f>
        <v>187.5</v>
      </c>
      <c r="O25" s="141">
        <f t="shared" si="2"/>
        <v>187.5</v>
      </c>
      <c r="P25" s="89"/>
      <c r="Q25" s="89"/>
    </row>
    <row r="26" spans="2:34">
      <c r="B26" s="69"/>
      <c r="C26" s="429">
        <f t="shared" si="3"/>
        <v>46285</v>
      </c>
      <c r="D26" s="430">
        <f t="shared" si="3"/>
        <v>46285</v>
      </c>
      <c r="E26" s="424">
        <v>0</v>
      </c>
      <c r="F26" s="424">
        <v>0</v>
      </c>
      <c r="G26" s="424">
        <f t="shared" si="0"/>
        <v>0</v>
      </c>
      <c r="H26" s="424">
        <v>0</v>
      </c>
      <c r="I26" s="425">
        <v>0</v>
      </c>
      <c r="J26" s="425">
        <f t="shared" si="1"/>
        <v>0</v>
      </c>
      <c r="K26" s="425">
        <f t="shared" si="4"/>
        <v>0</v>
      </c>
      <c r="L26" s="97">
        <v>0</v>
      </c>
      <c r="M26" s="98">
        <f>(D14/60)*0</f>
        <v>0</v>
      </c>
      <c r="N26" s="251">
        <f>IFERROR(J26*IF(AND(ISNUMBER(SEARCH(TEXT(C26,"ddd"),$G$11)),Data!$F$2),$G$14,$D$14)+K26*$G$14,"")</f>
        <v>0</v>
      </c>
      <c r="O26" s="141">
        <f t="shared" si="2"/>
        <v>0</v>
      </c>
      <c r="P26" s="89"/>
      <c r="Q26" s="89"/>
    </row>
    <row r="27" spans="2:34">
      <c r="B27" s="69">
        <v>9</v>
      </c>
      <c r="C27" s="429">
        <f t="shared" si="3"/>
        <v>46286</v>
      </c>
      <c r="D27" s="430">
        <f t="shared" si="3"/>
        <v>46286</v>
      </c>
      <c r="E27" s="424">
        <v>0.33333333333333331</v>
      </c>
      <c r="F27" s="424">
        <v>0</v>
      </c>
      <c r="G27" s="424">
        <f t="shared" si="0"/>
        <v>0.33333333333333331</v>
      </c>
      <c r="H27" s="424">
        <v>0.75</v>
      </c>
      <c r="I27" s="425">
        <v>1</v>
      </c>
      <c r="J27" s="425">
        <f t="shared" si="1"/>
        <v>9</v>
      </c>
      <c r="K27" s="425">
        <f t="shared" si="4"/>
        <v>0</v>
      </c>
      <c r="L27" s="426">
        <v>0</v>
      </c>
      <c r="M27" s="423">
        <f>(D14/60)*0</f>
        <v>0</v>
      </c>
      <c r="N27" s="427">
        <f>IFERROR(J27*IF(AND(ISNUMBER(SEARCH(TEXT(C27,"ddd"),$G$11)),Data!$F$2),$G$14,$D$14)+K27*$G$14,"")</f>
        <v>562.5</v>
      </c>
      <c r="O27" s="141">
        <f t="shared" si="2"/>
        <v>562.5</v>
      </c>
      <c r="P27" s="127"/>
      <c r="Q27" s="89"/>
    </row>
    <row r="28" spans="2:34">
      <c r="B28" s="69">
        <v>10</v>
      </c>
      <c r="C28" s="429">
        <f t="shared" si="3"/>
        <v>46287</v>
      </c>
      <c r="D28" s="430">
        <f t="shared" si="3"/>
        <v>46287</v>
      </c>
      <c r="E28" s="424">
        <v>0.33333333333333331</v>
      </c>
      <c r="F28" s="424">
        <v>0</v>
      </c>
      <c r="G28" s="424">
        <f t="shared" si="0"/>
        <v>0.33333333333333331</v>
      </c>
      <c r="H28" s="424">
        <v>0.75</v>
      </c>
      <c r="I28" s="425">
        <v>1</v>
      </c>
      <c r="J28" s="425">
        <f t="shared" si="1"/>
        <v>9</v>
      </c>
      <c r="K28" s="425">
        <f t="shared" si="4"/>
        <v>0</v>
      </c>
      <c r="L28" s="426">
        <v>0</v>
      </c>
      <c r="M28" s="423">
        <f>(D14/60)*0</f>
        <v>0</v>
      </c>
      <c r="N28" s="427">
        <f>IFERROR(J28*IF(AND(ISNUMBER(SEARCH(TEXT(C28,"ddd"),$G$11)),Data!$F$2),$G$14,$D$14)+K28*$G$14,"")</f>
        <v>562.5</v>
      </c>
      <c r="O28" s="141">
        <f t="shared" si="2"/>
        <v>562.5</v>
      </c>
      <c r="Q28" s="89"/>
    </row>
    <row r="29" spans="2:34">
      <c r="B29" s="69">
        <v>11</v>
      </c>
      <c r="C29" s="429">
        <f t="shared" si="3"/>
        <v>46288</v>
      </c>
      <c r="D29" s="430">
        <f t="shared" si="3"/>
        <v>46288</v>
      </c>
      <c r="E29" s="424">
        <v>0.33333333333333331</v>
      </c>
      <c r="F29" s="424">
        <v>0</v>
      </c>
      <c r="G29" s="424">
        <f t="shared" si="0"/>
        <v>0.33333333333333331</v>
      </c>
      <c r="H29" s="424">
        <v>0.75</v>
      </c>
      <c r="I29" s="425">
        <v>1</v>
      </c>
      <c r="J29" s="425">
        <f t="shared" si="1"/>
        <v>9</v>
      </c>
      <c r="K29" s="425">
        <v>2</v>
      </c>
      <c r="L29" s="426">
        <v>0</v>
      </c>
      <c r="M29" s="423">
        <f>(D14/60)*0</f>
        <v>0</v>
      </c>
      <c r="N29" s="427">
        <f>IFERROR(J29*IF(AND(ISNUMBER(SEARCH(TEXT(C29,"ddd"),$G$11)),Data!$F$2),$G$14,$D$14)+K29*$G$14,"")</f>
        <v>718.75</v>
      </c>
      <c r="O29" s="141">
        <f>M29+N29</f>
        <v>718.75</v>
      </c>
      <c r="P29" s="95">
        <f>O28-O29</f>
        <v>-156.25</v>
      </c>
      <c r="Q29" s="89"/>
    </row>
    <row r="30" spans="2:34">
      <c r="B30" s="69">
        <v>12</v>
      </c>
      <c r="C30" s="429">
        <f t="shared" si="3"/>
        <v>46289</v>
      </c>
      <c r="D30" s="430">
        <f t="shared" si="3"/>
        <v>46289</v>
      </c>
      <c r="E30" s="424">
        <v>0.33333333333333331</v>
      </c>
      <c r="F30" s="424">
        <v>0</v>
      </c>
      <c r="G30" s="424">
        <f>E30-F30</f>
        <v>0.33333333333333331</v>
      </c>
      <c r="H30" s="424">
        <v>0.75</v>
      </c>
      <c r="I30" s="425">
        <v>1</v>
      </c>
      <c r="J30" s="425">
        <f t="shared" si="1"/>
        <v>9</v>
      </c>
      <c r="K30" s="425">
        <v>2</v>
      </c>
      <c r="L30" s="426">
        <f>E30-B14</f>
        <v>0</v>
      </c>
      <c r="M30" s="423">
        <f>(D14/60)*0</f>
        <v>0</v>
      </c>
      <c r="N30" s="427">
        <f>IFERROR(J30*IF(AND(ISNUMBER(SEARCH(TEXT(C30,"ddd"),$G$11)),Data!$F$2),$G$14,$D$14)+K30*$G$14,"")</f>
        <v>718.75</v>
      </c>
      <c r="O30" s="141">
        <f t="shared" si="2"/>
        <v>718.75</v>
      </c>
      <c r="P30" s="127"/>
      <c r="Q30" s="89"/>
    </row>
    <row r="31" spans="2:34">
      <c r="B31" s="69">
        <v>13</v>
      </c>
      <c r="C31" s="429">
        <f t="shared" si="3"/>
        <v>46290</v>
      </c>
      <c r="D31" s="430">
        <f t="shared" si="3"/>
        <v>46290</v>
      </c>
      <c r="E31" s="424">
        <v>0.33333333333333331</v>
      </c>
      <c r="F31" s="424">
        <v>0</v>
      </c>
      <c r="G31" s="424">
        <f>E31-F31</f>
        <v>0.33333333333333331</v>
      </c>
      <c r="H31" s="424">
        <v>0.75</v>
      </c>
      <c r="I31" s="425">
        <v>1</v>
      </c>
      <c r="J31" s="425">
        <f t="shared" si="1"/>
        <v>9</v>
      </c>
      <c r="K31" s="425">
        <v>4</v>
      </c>
      <c r="L31" s="426">
        <f>E31-B14</f>
        <v>0</v>
      </c>
      <c r="M31" s="423">
        <f>(D14/60)*0</f>
        <v>0</v>
      </c>
      <c r="N31" s="427">
        <f>IFERROR(J31*IF(AND(ISNUMBER(SEARCH(TEXT(C31,"ddd"),$G$11)),Data!$F$2),$G$14,$D$14)+K31*$G$14,"")</f>
        <v>875</v>
      </c>
      <c r="O31" s="141">
        <f>M31+N31</f>
        <v>875</v>
      </c>
      <c r="P31" s="95">
        <f>O28-O31</f>
        <v>-312.5</v>
      </c>
    </row>
    <row r="32" spans="2:34">
      <c r="B32" s="66"/>
      <c r="C32" s="442"/>
      <c r="D32" s="443"/>
      <c r="E32" s="444"/>
      <c r="F32" s="444"/>
      <c r="G32" s="593" t="s">
        <v>182</v>
      </c>
      <c r="H32" s="594"/>
      <c r="I32" s="445">
        <f>SUM(I17:I31)</f>
        <v>11</v>
      </c>
      <c r="J32" s="445">
        <f>SUM(J17:J31)</f>
        <v>105</v>
      </c>
      <c r="K32" s="445">
        <f>SUM(K17:K31)</f>
        <v>9</v>
      </c>
      <c r="L32" s="445">
        <f>SUM(L17:L31)</f>
        <v>0</v>
      </c>
      <c r="M32" s="445">
        <f>SUM(M17:M31)</f>
        <v>0</v>
      </c>
      <c r="N32" s="441"/>
      <c r="O32" s="165">
        <f>SUM(O17:O31)</f>
        <v>7265.625</v>
      </c>
      <c r="P32" s="165">
        <f>SUM(P17:P31)</f>
        <v>-468.75</v>
      </c>
      <c r="Q32" s="95">
        <f>O32+P32</f>
        <v>6796.875</v>
      </c>
    </row>
    <row r="33" spans="2:17">
      <c r="B33" s="66"/>
      <c r="C33" s="76"/>
      <c r="D33" s="77"/>
      <c r="E33" s="144"/>
      <c r="F33" s="144"/>
      <c r="G33" s="81" t="s">
        <v>39</v>
      </c>
      <c r="H33" s="82"/>
      <c r="I33" s="83"/>
      <c r="J33" s="84"/>
      <c r="K33" s="116"/>
      <c r="L33" s="102">
        <f>(D14/60)*0</f>
        <v>0</v>
      </c>
      <c r="M33" s="118"/>
      <c r="N33" s="166">
        <f>D14*H14</f>
        <v>6562.5</v>
      </c>
      <c r="O33" s="95"/>
      <c r="P33" s="95"/>
      <c r="Q33" s="95"/>
    </row>
    <row r="34" spans="2:17">
      <c r="B34" s="65"/>
      <c r="C34" s="65"/>
      <c r="D34" s="85"/>
      <c r="E34" s="85"/>
      <c r="F34" s="85"/>
      <c r="G34" s="592" t="s">
        <v>183</v>
      </c>
      <c r="H34" s="592"/>
      <c r="I34" s="80"/>
      <c r="J34" s="80">
        <f>H14-J32</f>
        <v>0</v>
      </c>
      <c r="K34" s="65"/>
      <c r="L34" s="120"/>
      <c r="M34" s="65"/>
      <c r="N34" s="121">
        <f>M32</f>
        <v>0</v>
      </c>
      <c r="O34" s="151">
        <f>O32-O33</f>
        <v>7265.625</v>
      </c>
      <c r="P34" s="95"/>
      <c r="Q34" s="95"/>
    </row>
    <row r="35" spans="2:17">
      <c r="B35" s="65"/>
      <c r="C35" s="65"/>
      <c r="D35" s="85"/>
      <c r="E35" s="145"/>
      <c r="F35" s="145"/>
      <c r="G35" s="78" t="s">
        <v>41</v>
      </c>
      <c r="H35" s="79"/>
      <c r="I35" s="66"/>
      <c r="J35" s="66"/>
      <c r="K35" s="80"/>
      <c r="L35" s="80"/>
      <c r="M35" s="80"/>
      <c r="N35" s="121">
        <f>N33-N34</f>
        <v>6562.5</v>
      </c>
      <c r="O35" s="95"/>
      <c r="P35" s="95"/>
      <c r="Q35" s="95"/>
    </row>
    <row r="36" spans="2:17">
      <c r="B36" s="65"/>
      <c r="C36" s="65"/>
      <c r="D36" s="85"/>
      <c r="E36" s="146"/>
      <c r="F36" s="146"/>
      <c r="G36" s="604" t="s">
        <v>184</v>
      </c>
      <c r="H36" s="605"/>
      <c r="I36" s="80"/>
      <c r="J36" s="401"/>
      <c r="K36" s="122"/>
      <c r="L36" s="122"/>
      <c r="M36" s="122"/>
      <c r="N36" s="123">
        <f>G14*K32</f>
        <v>703.125</v>
      </c>
      <c r="O36" s="95"/>
    </row>
    <row r="37" spans="2:17">
      <c r="B37" s="65"/>
      <c r="C37" s="65"/>
      <c r="D37" s="85"/>
      <c r="E37" s="146"/>
      <c r="F37" s="146"/>
      <c r="G37" s="86" t="s">
        <v>185</v>
      </c>
      <c r="H37" s="87"/>
      <c r="I37" s="80"/>
      <c r="J37" s="66"/>
      <c r="K37" s="122"/>
      <c r="L37" s="122"/>
      <c r="M37" s="122"/>
      <c r="N37" s="123">
        <f>N53</f>
        <v>0</v>
      </c>
      <c r="O37" s="95"/>
    </row>
    <row r="38" spans="2:17">
      <c r="B38" s="65"/>
      <c r="C38" s="65"/>
      <c r="D38" s="85"/>
      <c r="E38" s="145"/>
      <c r="F38" s="145"/>
      <c r="G38" s="597" t="s">
        <v>186</v>
      </c>
      <c r="H38" s="598"/>
      <c r="I38" s="66"/>
      <c r="J38" s="66"/>
      <c r="K38" s="66"/>
      <c r="L38" s="66"/>
      <c r="M38" s="66"/>
      <c r="N38" s="124">
        <f>N35+N36+N37</f>
        <v>7265.625</v>
      </c>
      <c r="O38" s="95"/>
    </row>
    <row r="39" spans="2:17">
      <c r="D39" s="88"/>
      <c r="E39" s="88"/>
      <c r="F39" s="88"/>
      <c r="G39" s="589"/>
      <c r="H39" s="589"/>
      <c r="I39" s="90"/>
      <c r="J39" s="90"/>
      <c r="K39" s="125"/>
      <c r="L39" s="125"/>
      <c r="M39" s="125"/>
      <c r="N39" s="126"/>
      <c r="O39" s="127"/>
    </row>
    <row r="40" spans="2:17">
      <c r="D40" s="91"/>
      <c r="E40" s="91"/>
      <c r="F40" s="91"/>
      <c r="M40" t="s">
        <v>196</v>
      </c>
    </row>
    <row r="41" spans="2:17">
      <c r="B41" s="590" t="s">
        <v>187</v>
      </c>
      <c r="C41" s="590"/>
      <c r="D41" s="590"/>
      <c r="E41" s="590"/>
      <c r="F41" s="590"/>
      <c r="G41" s="590"/>
      <c r="H41" s="590"/>
      <c r="I41" s="590"/>
      <c r="J41" s="590"/>
      <c r="K41" s="590"/>
      <c r="L41" s="590"/>
      <c r="M41" s="590"/>
      <c r="N41" s="590"/>
    </row>
    <row r="42" spans="2:17">
      <c r="D42" s="91"/>
      <c r="E42" s="91"/>
      <c r="F42" s="91"/>
    </row>
    <row r="43" spans="2:17">
      <c r="D43" s="91" t="s">
        <v>188</v>
      </c>
      <c r="E43" s="91"/>
      <c r="F43" s="91"/>
      <c r="N43" s="95"/>
    </row>
    <row r="44" spans="2:17">
      <c r="D44" s="54" t="s">
        <v>10</v>
      </c>
      <c r="E44" s="54"/>
      <c r="F44" s="54"/>
      <c r="G44" s="54" t="s">
        <v>11</v>
      </c>
      <c r="H44" s="54" t="s">
        <v>12</v>
      </c>
      <c r="I44" s="55" t="s">
        <v>13</v>
      </c>
    </row>
    <row r="45" spans="2:17">
      <c r="D45" s="56">
        <v>2026</v>
      </c>
      <c r="E45" s="56"/>
      <c r="F45" s="56"/>
      <c r="G45" s="56" t="s">
        <v>264</v>
      </c>
      <c r="H45" s="56">
        <v>20</v>
      </c>
      <c r="I45" s="56" t="s">
        <v>15</v>
      </c>
    </row>
    <row r="46" spans="2:17">
      <c r="D46" s="57"/>
      <c r="E46" s="57"/>
      <c r="F46" s="57"/>
      <c r="G46" s="57"/>
    </row>
    <row r="47" spans="2:17" ht="33.75">
      <c r="D47" s="159" t="s">
        <v>16</v>
      </c>
      <c r="E47" s="159"/>
      <c r="F47" s="159"/>
      <c r="G47" s="159" t="s">
        <v>17</v>
      </c>
      <c r="H47" s="159" t="s">
        <v>18</v>
      </c>
      <c r="I47" s="159" t="s">
        <v>19</v>
      </c>
    </row>
    <row r="48" spans="2:17">
      <c r="D48" s="61">
        <v>0.33333333333333298</v>
      </c>
      <c r="E48" s="61"/>
      <c r="F48" s="61"/>
      <c r="G48" s="62">
        <v>10</v>
      </c>
      <c r="H48" s="63">
        <f>D14</f>
        <v>62.5</v>
      </c>
      <c r="I48" s="130">
        <f>(H48*30%)+H48</f>
        <v>81.25</v>
      </c>
    </row>
    <row r="50" spans="3:14">
      <c r="C50" s="131" t="s">
        <v>20</v>
      </c>
      <c r="D50" s="131" t="s">
        <v>12</v>
      </c>
      <c r="E50" s="131"/>
      <c r="F50" s="131"/>
      <c r="G50" s="131" t="s">
        <v>21</v>
      </c>
      <c r="H50" s="131" t="s">
        <v>22</v>
      </c>
      <c r="I50" s="131" t="s">
        <v>23</v>
      </c>
      <c r="J50" s="131" t="s">
        <v>24</v>
      </c>
      <c r="K50" s="131" t="s">
        <v>25</v>
      </c>
      <c r="L50" s="131"/>
      <c r="M50" s="131"/>
      <c r="N50" s="131" t="s">
        <v>26</v>
      </c>
    </row>
    <row r="51" spans="3:14">
      <c r="C51" s="70" t="s">
        <v>353</v>
      </c>
      <c r="D51" s="71">
        <v>46101</v>
      </c>
      <c r="E51" s="71"/>
      <c r="F51" s="71"/>
      <c r="G51" s="72">
        <v>0.33333333333333331</v>
      </c>
      <c r="H51" s="72">
        <v>0.75</v>
      </c>
      <c r="I51" s="73">
        <v>1</v>
      </c>
      <c r="J51" s="73">
        <f>IFERROR(IF(AND(G51&lt;&gt;"",H51&lt;&gt;""),IF(G51&gt;$B$14+TIME($C$14,($C$14-INT($C$14))*60,0),0,IF(H51&gt;$B$14+TIME($C$14,($C$14-INT($C$14))*60,0),MIN(TIME($C$14,($C$14-INT($C$14))*60,0),($B$14+TIME($C$14,($C$14-INT($C$14))*60,0)-G51)),MIN(IF((H51-$B$14)&lt;0,0,(H51-$B$14)),(H51-G51))))*24,"")-I51,"")</f>
        <v>9</v>
      </c>
      <c r="K51" s="73">
        <f>IF(AND(G51&lt;&gt;"",H51&lt;&gt;""),((IF(G51&lt;$D$48,MIN($D$48-G51,H51-G51),0)+IF(H51&gt;$D$48+TIME($G$48,($G$48-INT($G$48))*60,0),MIN((H51-$D$48-TIME($G$48,($G$48-INT($G$48))*60,0)),(H51-G51)),0))*24),"")</f>
        <v>0</v>
      </c>
      <c r="L51" s="73"/>
      <c r="M51" s="73"/>
      <c r="N51" s="99">
        <f>(J51*H48)+562.5*30%</f>
        <v>731.25</v>
      </c>
    </row>
    <row r="52" spans="3:14">
      <c r="C52" s="70" t="s">
        <v>445</v>
      </c>
      <c r="D52" s="71">
        <v>23</v>
      </c>
      <c r="E52" s="71"/>
      <c r="F52" s="71"/>
      <c r="G52" s="72">
        <v>0</v>
      </c>
      <c r="H52" s="72">
        <v>0</v>
      </c>
      <c r="I52" s="73">
        <v>0</v>
      </c>
      <c r="J52" s="73">
        <f>IFERROR(IF(AND(G52&lt;&gt;"",H52&lt;&gt;""),IF(G52&gt;$B$14+TIME($C$14,($C$14-INT($C$14))*60,0),0,IF(H52&gt;$B$14+TIME($C$14,($C$14-INT($C$14))*60,0),MIN(TIME($C$14,($C$14-INT($C$14))*60,0),($B$14+TIME($C$14,($C$14-INT($C$14))*60,0)-G52)),MIN(IF((H52-$B$14)&lt;0,0,(H52-$B$14)),(H52-G52))))*24,"")-I52,"")</f>
        <v>0</v>
      </c>
      <c r="K52" s="73">
        <f>IF(AND(G52&lt;&gt;"",H52&lt;&gt;""),((IF(G52&lt;$D$48,MIN($D$48-G52,H52-G52),0)+IF(H52&gt;$D$48+TIME($G$48,($G$48-INT($G$48))*60,0),MIN((H52-$D$48-TIME($G$48,($G$48-INT($G$48))*60,0)),(H52-G52)),0))*24),"")</f>
        <v>0</v>
      </c>
      <c r="L52" s="73"/>
      <c r="M52" s="73"/>
      <c r="N52" s="99">
        <v>0</v>
      </c>
    </row>
    <row r="53" spans="3:14"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318"/>
    </row>
    <row r="54" spans="3:14" ht="12" customHeight="1">
      <c r="N54" s="138"/>
    </row>
    <row r="55" spans="3:14">
      <c r="N55" s="138"/>
    </row>
    <row r="56" spans="3:14">
      <c r="D56" s="591">
        <v>46255</v>
      </c>
      <c r="E56" s="591"/>
      <c r="F56" s="591"/>
      <c r="G56" s="88">
        <v>562.5</v>
      </c>
      <c r="H56" s="148" t="s">
        <v>280</v>
      </c>
      <c r="I56" s="254"/>
      <c r="N56" s="138"/>
    </row>
    <row r="57" spans="3:14">
      <c r="E57" s="88"/>
      <c r="F57" s="88"/>
      <c r="G57" s="88">
        <f>G56*H57</f>
        <v>168.75</v>
      </c>
      <c r="H57" s="253">
        <v>0.3</v>
      </c>
      <c r="I57" s="254"/>
      <c r="N57" s="138"/>
    </row>
    <row r="58" spans="3:14">
      <c r="E58" s="91"/>
      <c r="F58" s="91"/>
      <c r="G58" s="91"/>
      <c r="N58" s="138"/>
    </row>
    <row r="59" spans="3:14">
      <c r="E59" s="91"/>
      <c r="F59" s="91"/>
      <c r="G59" s="91"/>
      <c r="H59" s="91">
        <f>G57</f>
        <v>168.75</v>
      </c>
      <c r="N59" s="138"/>
    </row>
    <row r="60" spans="3:14">
      <c r="D60" s="132"/>
      <c r="E60" s="132"/>
      <c r="F60" s="132"/>
      <c r="G60" s="133"/>
      <c r="H60" s="133"/>
      <c r="I60" s="133"/>
      <c r="N60" s="138"/>
    </row>
    <row r="61" spans="3:14">
      <c r="D61" s="132"/>
      <c r="E61" s="132"/>
      <c r="F61" s="132"/>
      <c r="G61" s="133"/>
      <c r="H61" s="133"/>
      <c r="I61" s="133"/>
      <c r="N61" s="138"/>
    </row>
    <row r="62" spans="3:14">
      <c r="D62" s="132"/>
      <c r="E62" s="132"/>
      <c r="F62" s="132"/>
      <c r="G62" s="133"/>
      <c r="H62" s="133"/>
      <c r="I62" s="133"/>
    </row>
    <row r="63" spans="3:14">
      <c r="D63" s="132"/>
      <c r="E63" s="132"/>
      <c r="F63" s="132"/>
      <c r="G63" s="133"/>
      <c r="H63" s="133"/>
      <c r="I63" s="133"/>
    </row>
    <row r="64" spans="3:14">
      <c r="F64" s="132"/>
      <c r="G64" s="133"/>
      <c r="H64" s="133"/>
      <c r="I64" s="133"/>
    </row>
    <row r="67" spans="3:3">
      <c r="C67" s="91" t="s">
        <v>141</v>
      </c>
    </row>
    <row r="68" spans="3:3">
      <c r="C68" t="s">
        <v>66</v>
      </c>
    </row>
    <row r="69" spans="3:3">
      <c r="C69" s="91"/>
    </row>
  </sheetData>
  <mergeCells count="12">
    <mergeCell ref="D56:F56"/>
    <mergeCell ref="A6:N6"/>
    <mergeCell ref="C7:D7"/>
    <mergeCell ref="M7:O7"/>
    <mergeCell ref="C8:D8"/>
    <mergeCell ref="M8:O8"/>
    <mergeCell ref="G32:H32"/>
    <mergeCell ref="G34:H34"/>
    <mergeCell ref="G36:H36"/>
    <mergeCell ref="G38:H38"/>
    <mergeCell ref="G39:H39"/>
    <mergeCell ref="B41:N41"/>
  </mergeCells>
  <conditionalFormatting sqref="C17:D17 N17:N31">
    <cfRule type="expression" dxfId="251" priority="85">
      <formula>ISNUMBER(SEARCH(TEXT($C17,"ddd"),$G$10))</formula>
    </cfRule>
  </conditionalFormatting>
  <conditionalFormatting sqref="C18:D31">
    <cfRule type="expression" dxfId="250" priority="86">
      <formula>ISNUMBER(SEARCH(TEXT($C18,"ddd"),$G$11))</formula>
    </cfRule>
  </conditionalFormatting>
  <conditionalFormatting sqref="C51:N52">
    <cfRule type="expression" dxfId="249" priority="1">
      <formula>ISNUMBER(SEARCH(TEXT($C51,"ddd"),$G$11))</formula>
    </cfRule>
  </conditionalFormatting>
  <conditionalFormatting sqref="E17:K31">
    <cfRule type="expression" dxfId="248" priority="2">
      <formula>ISNUMBER(SEARCH(TEXT($C17,"ddd"),$G$11))</formula>
    </cfRule>
  </conditionalFormatting>
  <dataValidations count="5">
    <dataValidation type="list" allowBlank="1" showInputMessage="1" showErrorMessage="1" sqref="E11:F11" xr:uid="{00000000-0002-0000-1200-000000000000}">
      <formula1>BUNGAY!DateCalc</formula1>
    </dataValidation>
    <dataValidation type="custom" allowBlank="1" showInputMessage="1" showErrorMessage="1" sqref="G51:G52 E17:G31" xr:uid="{00000000-0002-0000-1200-000001000000}">
      <formula1>AND($G17&lt;=1,ISNUMBER($G17))</formula1>
    </dataValidation>
    <dataValidation type="custom" allowBlank="1" showInputMessage="1" showErrorMessage="1" sqref="H51:H52 H17:H31" xr:uid="{00000000-0002-0000-1200-000002000000}">
      <formula1>AND($H17&lt;=1,ISNUMBER($H17),($H17&gt;=$G17))</formula1>
    </dataValidation>
    <dataValidation type="list" allowBlank="1" showInputMessage="1" showErrorMessage="1" sqref="D11 H45" xr:uid="{00000000-0002-0000-1200-000003000000}">
      <formula1>DateCalc</formula1>
    </dataValidation>
    <dataValidation type="list" allowBlank="1" showInputMessage="1" showErrorMessage="1" sqref="G11" xr:uid="{00000000-0002-0000-1200-000005000000}"/>
  </dataValidations>
  <pageMargins left="1.07083333333333" right="0.25" top="0.24645833333333333" bottom="0.29385416666666669" header="0.29861111111111099" footer="0.29861111111111099"/>
  <pageSetup paperSize="9" scale="91" orientation="landscape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03809" r:id="rId4" name="Check Box 1">
              <controlPr defaultSize="0" print="0" autoPict="0">
                <anchor moveWithCells="1">
                  <from>
                    <xdr:col>7</xdr:col>
                    <xdr:colOff>180975</xdr:colOff>
                    <xdr:row>9</xdr:row>
                    <xdr:rowOff>28575</xdr:rowOff>
                  </from>
                  <to>
                    <xdr:col>8</xdr:col>
                    <xdr:colOff>571500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200-000004000000}">
          <x14:formula1>
            <xm:f>Data!$D$2:$D$16</xm:f>
          </x14:formula1>
          <xm:sqref>I45</xm:sqref>
        </x14:dataValidation>
        <x14:dataValidation type="list" allowBlank="1" showInputMessage="1" showErrorMessage="1" xr:uid="{00000000-0002-0000-1200-000006000000}">
          <x14:formula1>
            <xm:f>Data!$B$2:$B$13</xm:f>
          </x14:formula1>
          <xm:sqref>C11 G45</xm:sqref>
        </x14:dataValidation>
        <x14:dataValidation type="list" allowBlank="1" showInputMessage="1" showErrorMessage="1" xr:uid="{00000000-0002-0000-1200-000007000000}">
          <x14:formula1>
            <xm:f>Data!$A$2:$A$15</xm:f>
          </x14:formula1>
          <xm:sqref>B11 D45:F45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5:AH84"/>
  <sheetViews>
    <sheetView showGridLines="0" showWhiteSpace="0" view="pageLayout" topLeftCell="A4" zoomScale="150" zoomScaleNormal="100" zoomScalePageLayoutView="150" workbookViewId="0">
      <selection activeCell="L37" sqref="L37"/>
    </sheetView>
  </sheetViews>
  <sheetFormatPr defaultColWidth="9" defaultRowHeight="12.75"/>
  <cols>
    <col min="1" max="1" width="1.625" customWidth="1"/>
    <col min="2" max="2" width="5.375" customWidth="1"/>
    <col min="3" max="3" width="7.125" customWidth="1"/>
    <col min="4" max="6" width="7.625" customWidth="1"/>
    <col min="7" max="7" width="10.125" customWidth="1"/>
    <col min="8" max="8" width="9.625" customWidth="1"/>
    <col min="9" max="9" width="8.125" customWidth="1"/>
    <col min="10" max="10" width="10.125" customWidth="1"/>
    <col min="11" max="11" width="7.875" customWidth="1"/>
    <col min="12" max="12" width="10.125" customWidth="1"/>
    <col min="13" max="13" width="10.375" customWidth="1"/>
    <col min="14" max="14" width="10.875" customWidth="1"/>
    <col min="15" max="15" width="16.875" customWidth="1"/>
    <col min="18" max="18" width="11.125" customWidth="1"/>
  </cols>
  <sheetData>
    <row r="5" spans="1:15" ht="25.5" customHeight="1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15" s="47" customFormat="1" ht="25.5" customHeight="1">
      <c r="A6" s="603"/>
      <c r="B6" s="603"/>
      <c r="C6" s="603"/>
      <c r="D6" s="603"/>
      <c r="E6" s="603"/>
      <c r="F6" s="603"/>
      <c r="G6" s="603"/>
      <c r="H6" s="603"/>
      <c r="I6" s="603"/>
      <c r="J6" s="603"/>
      <c r="K6" s="603"/>
      <c r="L6" s="603"/>
      <c r="M6" s="603"/>
      <c r="N6" s="603"/>
    </row>
    <row r="7" spans="1:15" ht="18.75" customHeight="1">
      <c r="C7" s="527" t="s">
        <v>3</v>
      </c>
      <c r="D7" s="527"/>
      <c r="E7" s="49"/>
      <c r="F7" s="49"/>
      <c r="G7" s="50" t="s">
        <v>327</v>
      </c>
      <c r="H7" s="51"/>
      <c r="K7" s="49" t="s">
        <v>174</v>
      </c>
      <c r="M7" s="599" t="str">
        <f>PAALAN!L7</f>
        <v>September  11-25, 2026</v>
      </c>
      <c r="N7" s="599"/>
      <c r="O7" s="599"/>
    </row>
    <row r="8" spans="1:15" ht="18.75" customHeight="1">
      <c r="C8" s="527" t="s">
        <v>175</v>
      </c>
      <c r="D8" s="527"/>
      <c r="E8" s="49"/>
      <c r="F8" s="49"/>
      <c r="G8" s="50" t="s">
        <v>111</v>
      </c>
      <c r="H8" s="51"/>
      <c r="K8" s="49" t="s">
        <v>176</v>
      </c>
      <c r="L8" s="92"/>
      <c r="M8" s="600" t="str">
        <f>PAALAN!L8</f>
        <v>9/31/2026</v>
      </c>
      <c r="N8" s="600"/>
      <c r="O8" s="600"/>
    </row>
    <row r="9" spans="1:15">
      <c r="C9" s="52"/>
      <c r="D9" s="53"/>
      <c r="E9" s="53"/>
      <c r="F9" s="53"/>
      <c r="G9" s="53"/>
    </row>
    <row r="10" spans="1:15">
      <c r="B10" s="54" t="s">
        <v>10</v>
      </c>
      <c r="C10" s="54" t="s">
        <v>11</v>
      </c>
      <c r="D10" s="54" t="s">
        <v>12</v>
      </c>
      <c r="E10" s="54"/>
      <c r="F10" s="54"/>
      <c r="G10" s="55" t="s">
        <v>13</v>
      </c>
    </row>
    <row r="11" spans="1:15">
      <c r="B11" s="56">
        <v>2026</v>
      </c>
      <c r="C11" s="56" t="s">
        <v>177</v>
      </c>
      <c r="D11" s="56">
        <v>11</v>
      </c>
      <c r="E11" s="56"/>
      <c r="F11" s="56"/>
      <c r="G11" s="56" t="s">
        <v>178</v>
      </c>
    </row>
    <row r="12" spans="1:15">
      <c r="B12" s="57"/>
      <c r="C12" s="57"/>
      <c r="H12" s="57"/>
      <c r="K12" s="57"/>
      <c r="L12" s="57"/>
      <c r="M12" s="57"/>
    </row>
    <row r="13" spans="1:15" ht="32.1" customHeight="1">
      <c r="B13" s="159" t="s">
        <v>16</v>
      </c>
      <c r="C13" s="159" t="s">
        <v>17</v>
      </c>
      <c r="D13" s="159" t="s">
        <v>18</v>
      </c>
      <c r="E13" s="160"/>
      <c r="F13" s="160"/>
      <c r="G13" s="160" t="s">
        <v>19</v>
      </c>
      <c r="H13" s="161" t="s">
        <v>179</v>
      </c>
      <c r="L13" s="93"/>
      <c r="M13" s="93"/>
      <c r="N13" s="94"/>
    </row>
    <row r="14" spans="1:15">
      <c r="B14" s="61">
        <v>0.33333333333333331</v>
      </c>
      <c r="C14" s="62">
        <v>10</v>
      </c>
      <c r="D14" s="63">
        <f>(16902.31/26)/8</f>
        <v>81.261105769230781</v>
      </c>
      <c r="E14" s="142"/>
      <c r="F14" s="142"/>
      <c r="G14" s="64">
        <f>(D14*25%)+D14</f>
        <v>101.57638221153847</v>
      </c>
      <c r="H14" s="65">
        <v>105</v>
      </c>
      <c r="I14" s="95"/>
      <c r="L14" s="57"/>
      <c r="M14" s="57"/>
      <c r="N14" s="95"/>
    </row>
    <row r="15" spans="1:15">
      <c r="N15" s="96"/>
    </row>
    <row r="16" spans="1:15" ht="23.25">
      <c r="B16" s="66"/>
      <c r="C16" s="67" t="s">
        <v>20</v>
      </c>
      <c r="D16" s="67" t="s">
        <v>12</v>
      </c>
      <c r="E16" s="67"/>
      <c r="F16" s="67"/>
      <c r="G16" s="67" t="s">
        <v>21</v>
      </c>
      <c r="H16" s="67" t="s">
        <v>22</v>
      </c>
      <c r="I16" s="68" t="s">
        <v>23</v>
      </c>
      <c r="J16" s="68" t="s">
        <v>24</v>
      </c>
      <c r="K16" s="68" t="s">
        <v>25</v>
      </c>
      <c r="L16" s="67" t="s">
        <v>180</v>
      </c>
      <c r="M16" s="134" t="s">
        <v>181</v>
      </c>
      <c r="N16" s="67" t="s">
        <v>26</v>
      </c>
    </row>
    <row r="17" spans="2:34">
      <c r="B17" s="432">
        <v>1</v>
      </c>
      <c r="C17" s="429">
        <f>DATE($B$11,MATCH($C$11,Data!$B$2:$B$13,0),BASA!$D$11)</f>
        <v>46276</v>
      </c>
      <c r="D17" s="430">
        <f>DATE($B$11,MATCH($C$11,Data!$B$2:$B$13,0),BASA!$D$11)</f>
        <v>46276</v>
      </c>
      <c r="E17" s="424">
        <v>0.33333333333333331</v>
      </c>
      <c r="F17" s="424">
        <v>0</v>
      </c>
      <c r="G17" s="424">
        <f t="shared" ref="G17:G29" si="0">E17-F17</f>
        <v>0.33333333333333331</v>
      </c>
      <c r="H17" s="424">
        <v>0.5</v>
      </c>
      <c r="I17" s="425">
        <v>0</v>
      </c>
      <c r="J17" s="425">
        <f t="shared" ref="J17:J31" si="1">IFERROR(IF(AND(G17&lt;&gt;"",H17&lt;&gt;""),IF(G17&gt;$B$14+TIME($C$14,($C$14-INT($C$14))*60,0),0,IF(H17&gt;$B$14+TIME($C$14,($C$14-INT($C$14))*60,0),MIN(TIME($C$14,($C$14-INT($C$14))*60,0),($B$14+TIME($C$14,($C$14-INT($C$14))*60,0)-G17)),MIN(IF((H17-$B$14)&lt;0,0,(H17-$B$14)),(H17-G17))))*24,"")-I17,"")</f>
        <v>4</v>
      </c>
      <c r="K17" s="425">
        <f t="shared" ref="K17:K28" si="2">IF(AND(G17&lt;&gt;"",H17&lt;&gt;""),((IF(G17&lt;$B$14,MIN($B$14-G17,H17-G17),0)+IF(H17&gt;$B$14+TIME($C$14,($C$14-INT($C$14))*60,0),MIN((H17-$B$14-TIME($C$14,($C$14-INT($C$14))*60,0)),(H17-G17)),0))*24),"")</f>
        <v>0</v>
      </c>
      <c r="L17" s="431">
        <f>E17-B14</f>
        <v>0</v>
      </c>
      <c r="M17" s="423">
        <f>(D14/60)*300</f>
        <v>406.30552884615389</v>
      </c>
      <c r="N17" s="427">
        <f>IFERROR(J17*IF(AND(ISNUMBER(SEARCH(TEXT(C17,"ddd"),$G$11)),Data!$F$2),$G$14,$D$14)+K17*$G$14,"")</f>
        <v>325.04442307692312</v>
      </c>
      <c r="O17" s="141">
        <f t="shared" ref="O17:O31" si="3">M17+N17</f>
        <v>731.34995192307701</v>
      </c>
      <c r="P17" s="100"/>
      <c r="Q17" s="89"/>
    </row>
    <row r="18" spans="2:34">
      <c r="B18" s="432">
        <v>2</v>
      </c>
      <c r="C18" s="429">
        <f t="shared" ref="C18:C31" si="4">C17+1</f>
        <v>46277</v>
      </c>
      <c r="D18" s="430">
        <f t="shared" ref="D18:D31" si="5">D17+1</f>
        <v>46277</v>
      </c>
      <c r="E18" s="424">
        <v>0.375</v>
      </c>
      <c r="F18" s="424">
        <v>0</v>
      </c>
      <c r="G18" s="424">
        <f t="shared" si="0"/>
        <v>0.375</v>
      </c>
      <c r="H18" s="424">
        <v>0.5</v>
      </c>
      <c r="I18" s="425">
        <v>0</v>
      </c>
      <c r="J18" s="425">
        <f t="shared" si="1"/>
        <v>3</v>
      </c>
      <c r="K18" s="425">
        <f t="shared" si="2"/>
        <v>0</v>
      </c>
      <c r="L18" s="431">
        <f>E18-B14</f>
        <v>4.1666666666666685E-2</v>
      </c>
      <c r="M18" s="423">
        <f>(D14/60)*0</f>
        <v>0</v>
      </c>
      <c r="N18" s="427">
        <f>IFERROR(J18*IF(AND(ISNUMBER(SEARCH(TEXT(C18,"ddd"),$G$11)),Data!$F$2),$G$14,$D$14)+K18*$G$14,"")</f>
        <v>243.78331730769236</v>
      </c>
      <c r="O18" s="141">
        <f t="shared" si="3"/>
        <v>243.78331730769236</v>
      </c>
      <c r="P18" s="89"/>
      <c r="Q18" s="89"/>
    </row>
    <row r="19" spans="2:34">
      <c r="B19" s="432"/>
      <c r="C19" s="429">
        <f t="shared" si="4"/>
        <v>46278</v>
      </c>
      <c r="D19" s="430">
        <f t="shared" si="5"/>
        <v>46278</v>
      </c>
      <c r="E19" s="424">
        <v>0</v>
      </c>
      <c r="F19" s="424">
        <v>0</v>
      </c>
      <c r="G19" s="424">
        <f t="shared" si="0"/>
        <v>0</v>
      </c>
      <c r="H19" s="424">
        <v>0</v>
      </c>
      <c r="I19" s="425">
        <v>0</v>
      </c>
      <c r="J19" s="425">
        <f t="shared" si="1"/>
        <v>0</v>
      </c>
      <c r="K19" s="425">
        <v>0</v>
      </c>
      <c r="L19" s="431">
        <v>0</v>
      </c>
      <c r="M19" s="98">
        <f>(D14/60)*0</f>
        <v>0</v>
      </c>
      <c r="N19" s="427">
        <f>IFERROR(J19*IF(AND(ISNUMBER(SEARCH(TEXT(C19,"ddd"),$G$11)),Data!$F$2),$G$14,$D$14)+K19*$G$14,"")</f>
        <v>0</v>
      </c>
      <c r="O19" s="141">
        <f t="shared" si="3"/>
        <v>0</v>
      </c>
      <c r="P19" s="100"/>
      <c r="Q19" s="104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</row>
    <row r="20" spans="2:34">
      <c r="B20" s="432">
        <v>3</v>
      </c>
      <c r="C20" s="429">
        <f t="shared" si="4"/>
        <v>46279</v>
      </c>
      <c r="D20" s="430">
        <f t="shared" si="5"/>
        <v>46279</v>
      </c>
      <c r="E20" s="424">
        <v>0.39444444444444443</v>
      </c>
      <c r="F20" s="424">
        <v>0</v>
      </c>
      <c r="G20" s="424">
        <f t="shared" si="0"/>
        <v>0.39444444444444443</v>
      </c>
      <c r="H20" s="424">
        <v>0.75</v>
      </c>
      <c r="I20" s="425">
        <v>1</v>
      </c>
      <c r="J20" s="425">
        <f t="shared" si="1"/>
        <v>7.5333333333333332</v>
      </c>
      <c r="K20" s="425">
        <f t="shared" si="2"/>
        <v>0</v>
      </c>
      <c r="L20" s="431">
        <f>G20-B14</f>
        <v>6.1111111111111116E-2</v>
      </c>
      <c r="M20" s="423">
        <f>(D14/60)*88</f>
        <v>119.18295512820515</v>
      </c>
      <c r="N20" s="427">
        <f>IFERROR(J20*IF(AND(ISNUMBER(SEARCH(TEXT(C20,"ddd"),$G$11)),Data!$F$2),$G$14,$D$14)+K20*$G$14,"")</f>
        <v>612.16699679487192</v>
      </c>
      <c r="O20" s="141">
        <f t="shared" si="3"/>
        <v>731.34995192307701</v>
      </c>
      <c r="P20" s="103"/>
      <c r="Q20" s="103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28"/>
    </row>
    <row r="21" spans="2:34">
      <c r="B21" s="432">
        <v>4</v>
      </c>
      <c r="C21" s="429">
        <f t="shared" si="4"/>
        <v>46280</v>
      </c>
      <c r="D21" s="430">
        <f t="shared" si="5"/>
        <v>46280</v>
      </c>
      <c r="E21" s="424">
        <v>0.33333333333333331</v>
      </c>
      <c r="F21" s="424">
        <v>0</v>
      </c>
      <c r="G21" s="424">
        <f t="shared" si="0"/>
        <v>0.33333333333333331</v>
      </c>
      <c r="H21" s="424">
        <v>0.75</v>
      </c>
      <c r="I21" s="425">
        <v>1</v>
      </c>
      <c r="J21" s="425">
        <f t="shared" si="1"/>
        <v>9</v>
      </c>
      <c r="K21" s="425">
        <f t="shared" si="2"/>
        <v>0</v>
      </c>
      <c r="L21" s="431">
        <f>E21-B14</f>
        <v>0</v>
      </c>
      <c r="M21" s="423">
        <f>(D14/60)*0</f>
        <v>0</v>
      </c>
      <c r="N21" s="427">
        <f>IFERROR(J21*IF(AND(ISNUMBER(SEARCH(TEXT(C21,"ddd"),$G$11)),Data!$F$2),$G$14,$D$14)+K21*$G$14,"")</f>
        <v>731.34995192307701</v>
      </c>
      <c r="O21" s="141">
        <f t="shared" si="3"/>
        <v>731.34995192307701</v>
      </c>
      <c r="P21" s="162"/>
      <c r="Q21" s="108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4"/>
    </row>
    <row r="22" spans="2:34">
      <c r="B22" s="432">
        <v>5</v>
      </c>
      <c r="C22" s="429">
        <f t="shared" si="4"/>
        <v>46281</v>
      </c>
      <c r="D22" s="430">
        <f t="shared" si="5"/>
        <v>46281</v>
      </c>
      <c r="E22" s="424">
        <v>0.33333333333333331</v>
      </c>
      <c r="F22" s="424">
        <v>0</v>
      </c>
      <c r="G22" s="424">
        <f t="shared" si="0"/>
        <v>0.33333333333333331</v>
      </c>
      <c r="H22" s="424">
        <v>0.75</v>
      </c>
      <c r="I22" s="425">
        <v>1</v>
      </c>
      <c r="J22" s="425">
        <f t="shared" si="1"/>
        <v>9</v>
      </c>
      <c r="K22" s="425">
        <v>0</v>
      </c>
      <c r="L22" s="431">
        <v>0</v>
      </c>
      <c r="M22" s="423">
        <f>(D14/60)*0</f>
        <v>0</v>
      </c>
      <c r="N22" s="427">
        <f>IFERROR(J22*IF(AND(ISNUMBER(SEARCH(TEXT(C22,"ddd"),$G$11)),Data!$F$2),$G$14,$D$14)+K22*$G$14,"")</f>
        <v>731.34995192307701</v>
      </c>
      <c r="O22" s="141">
        <f t="shared" si="3"/>
        <v>731.34995192307701</v>
      </c>
      <c r="P22" s="163">
        <f>O21-O22</f>
        <v>0</v>
      </c>
      <c r="Q22" s="135"/>
      <c r="R22" s="96">
        <v>0.40486111111111101</v>
      </c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4"/>
    </row>
    <row r="23" spans="2:34">
      <c r="B23" s="432">
        <v>6</v>
      </c>
      <c r="C23" s="429">
        <f t="shared" si="4"/>
        <v>46282</v>
      </c>
      <c r="D23" s="430">
        <f t="shared" si="5"/>
        <v>46282</v>
      </c>
      <c r="E23" s="424">
        <v>0.33333333333333331</v>
      </c>
      <c r="F23" s="424">
        <v>0</v>
      </c>
      <c r="G23" s="424">
        <f t="shared" si="0"/>
        <v>0.33333333333333331</v>
      </c>
      <c r="H23" s="424">
        <v>0.75</v>
      </c>
      <c r="I23" s="425">
        <v>1</v>
      </c>
      <c r="J23" s="425">
        <f t="shared" si="1"/>
        <v>9</v>
      </c>
      <c r="K23" s="425">
        <f t="shared" ref="K23" si="6">IF(AND(G23&lt;&gt;"",H23&lt;&gt;""),((IF(G23&lt;$B$14,MIN($B$14-G23,H23-G23),0)+IF(H23&gt;$B$14+TIME($C$14,($C$14-INT($C$14))*60,0),MIN((H23-$B$14-TIME($C$14,($C$14-INT($C$14))*60,0)),(H23-G23)),0))*24),"")</f>
        <v>0</v>
      </c>
      <c r="L23" s="431">
        <f>G23-B14</f>
        <v>0</v>
      </c>
      <c r="M23" s="423">
        <f>(D14/60)*0</f>
        <v>0</v>
      </c>
      <c r="N23" s="427">
        <f>IFERROR(J23*IF(AND(ISNUMBER(SEARCH(TEXT(C23,"ddd"),$G$11)),Data!$F$2),$G$14,$D$14)+K23*$G$14,"")</f>
        <v>731.34995192307701</v>
      </c>
      <c r="O23" s="141">
        <f t="shared" si="3"/>
        <v>731.34995192307701</v>
      </c>
      <c r="P23" s="150"/>
      <c r="Q23" s="89"/>
      <c r="R23" s="96">
        <v>1.0416666666666701E-2</v>
      </c>
    </row>
    <row r="24" spans="2:34">
      <c r="B24" s="432">
        <v>7</v>
      </c>
      <c r="C24" s="429">
        <f t="shared" si="4"/>
        <v>46283</v>
      </c>
      <c r="D24" s="430">
        <f t="shared" si="5"/>
        <v>46283</v>
      </c>
      <c r="E24" s="424">
        <v>0.33333333333333331</v>
      </c>
      <c r="F24" s="424">
        <v>0</v>
      </c>
      <c r="G24" s="424">
        <f t="shared" si="0"/>
        <v>0.33333333333333331</v>
      </c>
      <c r="H24" s="424">
        <v>0.75</v>
      </c>
      <c r="I24" s="425">
        <v>1</v>
      </c>
      <c r="J24" s="425">
        <f t="shared" si="1"/>
        <v>9</v>
      </c>
      <c r="K24" s="425">
        <v>0</v>
      </c>
      <c r="L24" s="431">
        <f>G24-B14</f>
        <v>0</v>
      </c>
      <c r="M24" s="423">
        <f>(D14/60)*0</f>
        <v>0</v>
      </c>
      <c r="N24" s="427">
        <f>IFERROR(J24*IF(AND(ISNUMBER(SEARCH(TEXT(C24,"ddd"),$G$11)),Data!$F$2),$G$14,$D$14)+K24*$G$14,"")</f>
        <v>731.34995192307701</v>
      </c>
      <c r="O24" s="141">
        <f t="shared" si="3"/>
        <v>731.34995192307701</v>
      </c>
      <c r="P24" s="155"/>
      <c r="Q24" s="89"/>
      <c r="R24" s="129">
        <f>R22-R23</f>
        <v>0.39444444444444432</v>
      </c>
    </row>
    <row r="25" spans="2:34">
      <c r="B25" s="432">
        <v>8</v>
      </c>
      <c r="C25" s="429">
        <f t="shared" si="4"/>
        <v>46284</v>
      </c>
      <c r="D25" s="430">
        <f t="shared" si="5"/>
        <v>46284</v>
      </c>
      <c r="E25" s="424">
        <v>0.375</v>
      </c>
      <c r="F25" s="424">
        <v>0</v>
      </c>
      <c r="G25" s="424">
        <f t="shared" si="0"/>
        <v>0.375</v>
      </c>
      <c r="H25" s="424">
        <v>0.5</v>
      </c>
      <c r="I25" s="425">
        <v>0</v>
      </c>
      <c r="J25" s="425">
        <f t="shared" si="1"/>
        <v>3</v>
      </c>
      <c r="K25" s="425">
        <f t="shared" si="2"/>
        <v>0</v>
      </c>
      <c r="L25" s="431">
        <f>E25-B14</f>
        <v>4.1666666666666685E-2</v>
      </c>
      <c r="M25" s="423">
        <f>(D14/60)*0</f>
        <v>0</v>
      </c>
      <c r="N25" s="427">
        <f>IFERROR(J25*IF(AND(ISNUMBER(SEARCH(TEXT(C25,"ddd"),$G$11)),Data!$F$2),$G$14,$D$14)+K25*$G$14,"")</f>
        <v>243.78331730769236</v>
      </c>
      <c r="O25" s="141">
        <f t="shared" si="3"/>
        <v>243.78331730769236</v>
      </c>
      <c r="P25" s="89"/>
      <c r="Q25" s="89"/>
    </row>
    <row r="26" spans="2:34">
      <c r="B26" s="432"/>
      <c r="C26" s="429">
        <f t="shared" si="4"/>
        <v>46285</v>
      </c>
      <c r="D26" s="430">
        <f t="shared" si="5"/>
        <v>46285</v>
      </c>
      <c r="E26" s="424">
        <v>0</v>
      </c>
      <c r="F26" s="424">
        <v>0</v>
      </c>
      <c r="G26" s="424">
        <f t="shared" si="0"/>
        <v>0</v>
      </c>
      <c r="H26" s="424">
        <v>0</v>
      </c>
      <c r="I26" s="425">
        <v>0</v>
      </c>
      <c r="J26" s="425">
        <f t="shared" si="1"/>
        <v>0</v>
      </c>
      <c r="K26" s="425">
        <f t="shared" si="2"/>
        <v>0</v>
      </c>
      <c r="L26" s="431">
        <v>0</v>
      </c>
      <c r="M26" s="98">
        <f>(D14/60)*0</f>
        <v>0</v>
      </c>
      <c r="N26" s="427">
        <f>IFERROR(J26*IF(AND(ISNUMBER(SEARCH(TEXT(C26,"ddd"),$G$11)),Data!$F$2),$G$14,$D$14)+K26*$G$14,"")</f>
        <v>0</v>
      </c>
      <c r="O26" s="141">
        <f t="shared" si="3"/>
        <v>0</v>
      </c>
      <c r="P26" s="89"/>
      <c r="Q26" s="89"/>
    </row>
    <row r="27" spans="2:34">
      <c r="B27" s="432">
        <v>9</v>
      </c>
      <c r="C27" s="429">
        <f t="shared" si="4"/>
        <v>46286</v>
      </c>
      <c r="D27" s="430">
        <f t="shared" si="5"/>
        <v>46286</v>
      </c>
      <c r="E27" s="424">
        <v>0.33333333333333331</v>
      </c>
      <c r="F27" s="424">
        <v>0</v>
      </c>
      <c r="G27" s="424">
        <f t="shared" si="0"/>
        <v>0.33333333333333331</v>
      </c>
      <c r="H27" s="424">
        <v>0.75</v>
      </c>
      <c r="I27" s="425">
        <v>1</v>
      </c>
      <c r="J27" s="425">
        <f t="shared" si="1"/>
        <v>9</v>
      </c>
      <c r="K27" s="425">
        <f t="shared" si="2"/>
        <v>0</v>
      </c>
      <c r="L27" s="431">
        <f>E27-B14</f>
        <v>0</v>
      </c>
      <c r="M27" s="423">
        <f>(D14/60)*0</f>
        <v>0</v>
      </c>
      <c r="N27" s="427">
        <f>IFERROR(J27*IF(AND(ISNUMBER(SEARCH(TEXT(C27,"ddd"),$G$11)),Data!$F$2),$G$14,$D$14)+K27*$G$14,"")</f>
        <v>731.34995192307701</v>
      </c>
      <c r="O27" s="141">
        <f t="shared" si="3"/>
        <v>731.34995192307701</v>
      </c>
      <c r="P27" s="127"/>
      <c r="Q27" s="89"/>
    </row>
    <row r="28" spans="2:34">
      <c r="B28" s="432">
        <v>10</v>
      </c>
      <c r="C28" s="429">
        <f t="shared" si="4"/>
        <v>46287</v>
      </c>
      <c r="D28" s="430">
        <f t="shared" si="5"/>
        <v>46287</v>
      </c>
      <c r="E28" s="424">
        <v>0.35555555555555557</v>
      </c>
      <c r="F28" s="424">
        <v>0</v>
      </c>
      <c r="G28" s="424">
        <f t="shared" si="0"/>
        <v>0.35555555555555557</v>
      </c>
      <c r="H28" s="424">
        <v>0.75</v>
      </c>
      <c r="I28" s="425">
        <v>1</v>
      </c>
      <c r="J28" s="425">
        <f t="shared" si="1"/>
        <v>8.4666666666666668</v>
      </c>
      <c r="K28" s="425">
        <f t="shared" si="2"/>
        <v>0</v>
      </c>
      <c r="L28" s="431">
        <f>E28-B14</f>
        <v>2.2222222222222254E-2</v>
      </c>
      <c r="M28" s="423">
        <f>(D14/60)*32</f>
        <v>43.339256410256418</v>
      </c>
      <c r="N28" s="427">
        <f>IFERROR(J28*IF(AND(ISNUMBER(SEARCH(TEXT(C28,"ddd"),$G$11)),Data!$F$2),$G$14,$D$14)+K28*$G$14,"")</f>
        <v>688.01069551282058</v>
      </c>
      <c r="O28" s="141">
        <f t="shared" si="3"/>
        <v>731.34995192307701</v>
      </c>
      <c r="Q28" s="89"/>
    </row>
    <row r="29" spans="2:34">
      <c r="B29" s="432">
        <v>11</v>
      </c>
      <c r="C29" s="429">
        <f t="shared" si="4"/>
        <v>46288</v>
      </c>
      <c r="D29" s="430">
        <f t="shared" si="5"/>
        <v>46288</v>
      </c>
      <c r="E29" s="424">
        <v>0.33333333333333331</v>
      </c>
      <c r="F29" s="424">
        <v>0</v>
      </c>
      <c r="G29" s="424">
        <f t="shared" si="0"/>
        <v>0.33333333333333331</v>
      </c>
      <c r="H29" s="424">
        <v>0.75</v>
      </c>
      <c r="I29" s="425">
        <v>1</v>
      </c>
      <c r="J29" s="425">
        <f t="shared" si="1"/>
        <v>9</v>
      </c>
      <c r="K29" s="425">
        <v>0</v>
      </c>
      <c r="L29" s="431">
        <f>E29-B14</f>
        <v>0</v>
      </c>
      <c r="M29" s="423">
        <v>0</v>
      </c>
      <c r="N29" s="427">
        <f>IFERROR(J29*IF(AND(ISNUMBER(SEARCH(TEXT(C29,"ddd"),$G$11)),Data!$F$2),$G$14,$D$14)+K29*$G$14,"")</f>
        <v>731.34995192307701</v>
      </c>
      <c r="O29" s="141">
        <f t="shared" si="3"/>
        <v>731.34995192307701</v>
      </c>
      <c r="P29" s="95">
        <f>O28-O29</f>
        <v>0</v>
      </c>
      <c r="Q29" s="89"/>
    </row>
    <row r="30" spans="2:34">
      <c r="B30" s="432">
        <v>12</v>
      </c>
      <c r="C30" s="429">
        <f t="shared" si="4"/>
        <v>46289</v>
      </c>
      <c r="D30" s="430">
        <f t="shared" si="5"/>
        <v>46289</v>
      </c>
      <c r="E30" s="424">
        <v>0.33333333333333331</v>
      </c>
      <c r="F30" s="424">
        <v>0</v>
      </c>
      <c r="G30" s="424">
        <f>E30-F30</f>
        <v>0.33333333333333331</v>
      </c>
      <c r="H30" s="424">
        <v>0.75</v>
      </c>
      <c r="I30" s="425">
        <v>1</v>
      </c>
      <c r="J30" s="425">
        <f t="shared" si="1"/>
        <v>9</v>
      </c>
      <c r="K30" s="425">
        <v>0</v>
      </c>
      <c r="L30" s="431">
        <f>G30-B14</f>
        <v>0</v>
      </c>
      <c r="M30" s="423">
        <f>(D14/60)*0</f>
        <v>0</v>
      </c>
      <c r="N30" s="427">
        <f>IFERROR(J30*IF(AND(ISNUMBER(SEARCH(TEXT(C30,"ddd"),$G$11)),Data!$F$2),$G$14,$D$14)+K30*$G$14,"")</f>
        <v>731.34995192307701</v>
      </c>
      <c r="O30" s="141">
        <f t="shared" si="3"/>
        <v>731.34995192307701</v>
      </c>
      <c r="P30" s="127"/>
      <c r="Q30" s="89"/>
    </row>
    <row r="31" spans="2:34">
      <c r="B31" s="432">
        <v>13</v>
      </c>
      <c r="C31" s="429">
        <f t="shared" si="4"/>
        <v>46290</v>
      </c>
      <c r="D31" s="430">
        <f t="shared" si="5"/>
        <v>46290</v>
      </c>
      <c r="E31" s="424">
        <v>0.33333333333333331</v>
      </c>
      <c r="F31" s="424">
        <v>0</v>
      </c>
      <c r="G31" s="424">
        <f>E31-F31</f>
        <v>0.33333333333333331</v>
      </c>
      <c r="H31" s="424">
        <v>0.75</v>
      </c>
      <c r="I31" s="425">
        <v>1</v>
      </c>
      <c r="J31" s="425">
        <f t="shared" si="1"/>
        <v>9</v>
      </c>
      <c r="K31" s="425">
        <v>0</v>
      </c>
      <c r="L31" s="431">
        <f>E31-B14</f>
        <v>0</v>
      </c>
      <c r="M31" s="423">
        <f>(D14/60)*1</f>
        <v>1.3543517628205131</v>
      </c>
      <c r="N31" s="427">
        <f>IFERROR(J31*IF(AND(ISNUMBER(SEARCH(TEXT(C31,"ddd"),$G$11)),Data!$F$2),$G$14,$D$14)+K31*$G$14,"")</f>
        <v>731.34995192307701</v>
      </c>
      <c r="O31" s="141">
        <f t="shared" si="3"/>
        <v>732.70430368589757</v>
      </c>
      <c r="P31" s="95">
        <f>O28-O31</f>
        <v>-1.3543517628205564</v>
      </c>
    </row>
    <row r="32" spans="2:34">
      <c r="B32" s="66"/>
      <c r="C32" s="76"/>
      <c r="D32" s="77"/>
      <c r="E32" s="144"/>
      <c r="F32" s="144"/>
      <c r="G32" s="597" t="s">
        <v>182</v>
      </c>
      <c r="H32" s="598"/>
      <c r="I32" s="80">
        <f>SUM(I17:I31)</f>
        <v>10</v>
      </c>
      <c r="J32" s="80">
        <f>SUM(J17:J31)</f>
        <v>98</v>
      </c>
      <c r="K32" s="80">
        <f>SUM(K17:K31)</f>
        <v>0</v>
      </c>
      <c r="L32" s="113">
        <f>SUM(L17:L31)</f>
        <v>0.16666666666666674</v>
      </c>
      <c r="M32" s="114">
        <f>SUM(M17:M31)</f>
        <v>570.18209214743604</v>
      </c>
      <c r="N32" s="66"/>
      <c r="O32" s="165">
        <f>SUM(O17:O31)</f>
        <v>8533.7704575320531</v>
      </c>
      <c r="P32" s="165">
        <f>SUM(P17:P31)</f>
        <v>-1.3543517628205564</v>
      </c>
      <c r="Q32" s="95">
        <f>O32+P32</f>
        <v>8532.4161057692327</v>
      </c>
    </row>
    <row r="33" spans="2:17">
      <c r="B33" s="66"/>
      <c r="C33" s="76"/>
      <c r="D33" s="77"/>
      <c r="E33" s="144"/>
      <c r="F33" s="144"/>
      <c r="G33" s="81" t="s">
        <v>39</v>
      </c>
      <c r="H33" s="82"/>
      <c r="I33" s="83"/>
      <c r="J33" s="84"/>
      <c r="K33" s="116"/>
      <c r="L33" s="102">
        <f>(D14/60)*0</f>
        <v>0</v>
      </c>
      <c r="M33" s="118"/>
      <c r="N33" s="166">
        <f>(D14*H14)</f>
        <v>8532.4161057692327</v>
      </c>
      <c r="O33" s="95"/>
      <c r="P33" s="95"/>
      <c r="Q33" s="95"/>
    </row>
    <row r="34" spans="2:17">
      <c r="B34" s="65"/>
      <c r="C34" s="65"/>
      <c r="D34" s="85"/>
      <c r="E34" s="85"/>
      <c r="F34" s="85"/>
      <c r="G34" s="592" t="s">
        <v>183</v>
      </c>
      <c r="H34" s="592"/>
      <c r="I34" s="80"/>
      <c r="J34" s="80">
        <f>H14-J32</f>
        <v>7</v>
      </c>
      <c r="K34" s="65"/>
      <c r="L34" s="120"/>
      <c r="M34" s="65"/>
      <c r="N34" s="121">
        <f>M32</f>
        <v>570.18209214743604</v>
      </c>
      <c r="O34" s="151">
        <f>O32-O33</f>
        <v>8533.7704575320531</v>
      </c>
      <c r="P34" s="95"/>
      <c r="Q34" s="95"/>
    </row>
    <row r="35" spans="2:17">
      <c r="B35" s="65"/>
      <c r="C35" s="65"/>
      <c r="D35" s="85"/>
      <c r="E35" s="145"/>
      <c r="F35" s="145"/>
      <c r="G35" s="78" t="s">
        <v>41</v>
      </c>
      <c r="H35" s="79"/>
      <c r="I35" s="66"/>
      <c r="J35" s="66"/>
      <c r="K35" s="80"/>
      <c r="L35" s="80"/>
      <c r="M35" s="80"/>
      <c r="N35" s="121">
        <f>N33-N34</f>
        <v>7962.2340136217963</v>
      </c>
      <c r="O35" s="95"/>
      <c r="P35" s="95"/>
      <c r="Q35" s="95"/>
    </row>
    <row r="36" spans="2:17">
      <c r="B36" s="65"/>
      <c r="C36" s="65"/>
      <c r="D36" s="85"/>
      <c r="E36" s="146"/>
      <c r="F36" s="146"/>
      <c r="G36" s="604" t="s">
        <v>184</v>
      </c>
      <c r="H36" s="605"/>
      <c r="I36" s="80"/>
      <c r="J36" s="401"/>
      <c r="K36" s="122"/>
      <c r="L36" s="122"/>
      <c r="M36" s="122"/>
      <c r="N36" s="123">
        <f>G14*K32</f>
        <v>0</v>
      </c>
      <c r="O36" s="95"/>
    </row>
    <row r="37" spans="2:17">
      <c r="B37" s="65"/>
      <c r="C37" s="65"/>
      <c r="D37" s="85"/>
      <c r="E37" s="146"/>
      <c r="F37" s="146"/>
      <c r="G37" s="86" t="s">
        <v>185</v>
      </c>
      <c r="H37" s="87"/>
      <c r="I37" s="80"/>
      <c r="J37" s="66"/>
      <c r="K37" s="122"/>
      <c r="L37" s="122"/>
      <c r="M37" s="122"/>
      <c r="N37" s="123">
        <v>0</v>
      </c>
      <c r="O37" s="95"/>
    </row>
    <row r="38" spans="2:17">
      <c r="B38" s="65"/>
      <c r="C38" s="65"/>
      <c r="D38" s="85"/>
      <c r="E38" s="145"/>
      <c r="F38" s="145"/>
      <c r="G38" s="597" t="s">
        <v>186</v>
      </c>
      <c r="H38" s="598"/>
      <c r="I38" s="66"/>
      <c r="J38" s="66"/>
      <c r="K38" s="66"/>
      <c r="L38" s="66"/>
      <c r="M38" s="66"/>
      <c r="N38" s="124">
        <f>N35+N36+N37</f>
        <v>7962.2340136217963</v>
      </c>
      <c r="O38" s="95"/>
    </row>
    <row r="39" spans="2:17">
      <c r="D39" s="88"/>
      <c r="E39" s="88"/>
      <c r="F39" s="88"/>
      <c r="G39" s="589"/>
      <c r="H39" s="589"/>
      <c r="I39" s="90"/>
      <c r="J39" s="90"/>
      <c r="K39" s="125"/>
      <c r="L39" s="125"/>
      <c r="M39" s="125"/>
      <c r="N39" s="126"/>
      <c r="O39" s="127"/>
    </row>
    <row r="40" spans="2:17">
      <c r="D40" s="91"/>
      <c r="E40" s="91"/>
      <c r="F40" s="91"/>
      <c r="M40" t="s">
        <v>196</v>
      </c>
    </row>
    <row r="41" spans="2:17">
      <c r="B41" s="590" t="s">
        <v>187</v>
      </c>
      <c r="C41" s="590"/>
      <c r="D41" s="590"/>
      <c r="E41" s="590"/>
      <c r="F41" s="590"/>
      <c r="G41" s="590"/>
      <c r="H41" s="590"/>
      <c r="I41" s="590"/>
      <c r="J41" s="590"/>
      <c r="K41" s="590"/>
      <c r="L41" s="590"/>
      <c r="M41" s="590"/>
      <c r="N41" s="590"/>
    </row>
    <row r="42" spans="2:17">
      <c r="D42" s="91"/>
      <c r="E42" s="91"/>
      <c r="F42" s="91"/>
    </row>
    <row r="43" spans="2:17">
      <c r="D43" s="91" t="s">
        <v>188</v>
      </c>
      <c r="E43" s="91"/>
      <c r="F43" s="91"/>
      <c r="N43" s="95"/>
    </row>
    <row r="44" spans="2:17">
      <c r="D44" s="54" t="s">
        <v>10</v>
      </c>
      <c r="E44" s="54"/>
      <c r="F44" s="54"/>
      <c r="G44" s="54" t="s">
        <v>11</v>
      </c>
      <c r="H44" s="54" t="s">
        <v>12</v>
      </c>
      <c r="I44" s="55" t="s">
        <v>13</v>
      </c>
    </row>
    <row r="45" spans="2:17">
      <c r="D45" s="56">
        <v>2026</v>
      </c>
      <c r="E45" s="56"/>
      <c r="F45" s="56"/>
      <c r="G45" s="56" t="s">
        <v>204</v>
      </c>
      <c r="H45" s="56">
        <v>12</v>
      </c>
      <c r="I45" s="56" t="s">
        <v>15</v>
      </c>
    </row>
    <row r="46" spans="2:17">
      <c r="D46" s="57"/>
      <c r="E46" s="57"/>
      <c r="F46" s="57"/>
      <c r="G46" s="57"/>
    </row>
    <row r="47" spans="2:17" ht="33.75">
      <c r="D47" s="159" t="s">
        <v>16</v>
      </c>
      <c r="E47" s="159"/>
      <c r="F47" s="159"/>
      <c r="G47" s="159" t="s">
        <v>17</v>
      </c>
      <c r="H47" s="159" t="s">
        <v>18</v>
      </c>
      <c r="I47" s="159" t="s">
        <v>19</v>
      </c>
    </row>
    <row r="48" spans="2:17">
      <c r="D48" s="61">
        <v>0.33333333333333298</v>
      </c>
      <c r="E48" s="61"/>
      <c r="F48" s="61"/>
      <c r="G48" s="62">
        <v>10</v>
      </c>
      <c r="H48" s="63">
        <f>D14</f>
        <v>81.261105769230781</v>
      </c>
      <c r="I48" s="130">
        <f>(H48*30%)+H48</f>
        <v>105.63943750000001</v>
      </c>
    </row>
    <row r="50" spans="3:14">
      <c r="C50" s="131" t="s">
        <v>20</v>
      </c>
      <c r="D50" s="131" t="s">
        <v>12</v>
      </c>
      <c r="E50" s="131"/>
      <c r="F50" s="131"/>
      <c r="G50" s="131" t="s">
        <v>21</v>
      </c>
      <c r="H50" s="131" t="s">
        <v>22</v>
      </c>
      <c r="I50" s="131" t="s">
        <v>23</v>
      </c>
      <c r="J50" s="131" t="s">
        <v>24</v>
      </c>
      <c r="K50" s="131" t="s">
        <v>25</v>
      </c>
      <c r="L50" s="131"/>
      <c r="M50" s="131"/>
      <c r="N50" s="131" t="s">
        <v>26</v>
      </c>
    </row>
    <row r="51" spans="3:14">
      <c r="C51" s="70" t="s">
        <v>353</v>
      </c>
      <c r="D51" s="71">
        <v>12</v>
      </c>
      <c r="E51" s="71"/>
      <c r="F51" s="71"/>
      <c r="G51" s="72">
        <v>0.33333333333333331</v>
      </c>
      <c r="H51" s="72">
        <v>0.75</v>
      </c>
      <c r="I51" s="73">
        <v>1</v>
      </c>
      <c r="J51" s="73">
        <f>IFERROR(IF(AND(G51&lt;&gt;"",H51&lt;&gt;""),IF(G51&gt;$B$14+TIME($C$14,($C$14-INT($C$14))*60,0),0,IF(H51&gt;$B$14+TIME($C$14,($C$14-INT($C$14))*60,0),MIN(TIME($C$14,($C$14-INT($C$14))*60,0),($B$14+TIME($C$14,($C$14-INT($C$14))*60,0)-G51)),MIN(IF((H51-$B$14)&lt;0,0,(H51-$B$14)),(H51-G51))))*24,"")-I51,"")</f>
        <v>9</v>
      </c>
      <c r="K51" s="73">
        <f>IF(AND(G51&lt;&gt;"",H51&lt;&gt;""),((IF(G51&lt;$D$48,MIN($D$48-G51,H51-G51),0)+IF(H51&gt;$D$48+TIME($G$48,($G$48-INT($G$48))*60,0),MIN((H51-$D$48-TIME($G$48,($G$48-INT($G$48))*60,0)),(H51-G51)),0))*24),"")</f>
        <v>0</v>
      </c>
      <c r="L51" s="73"/>
      <c r="M51" s="73"/>
      <c r="N51" s="99">
        <f>(H48*J51)+731.35*30%</f>
        <v>950.75495192307699</v>
      </c>
    </row>
    <row r="52" spans="3:14">
      <c r="C52" s="70" t="s">
        <v>445</v>
      </c>
      <c r="D52" s="71">
        <v>23</v>
      </c>
      <c r="E52" s="71"/>
      <c r="F52" s="71"/>
      <c r="G52" s="72">
        <v>0.33333333333333331</v>
      </c>
      <c r="H52" s="72">
        <v>0.75</v>
      </c>
      <c r="I52" s="73">
        <v>1</v>
      </c>
      <c r="J52" s="73">
        <f>IFERROR(IF(AND(G52&lt;&gt;"",H52&lt;&gt;""),IF(G52&gt;$B$14+TIME($C$14,($C$14-INT($C$14))*60,0),0,IF(H52&gt;$B$14+TIME($C$14,($C$14-INT($C$14))*60,0),MIN(TIME($C$14,($C$14-INT($C$14))*60,0),($B$14+TIME($C$14,($C$14-INT($C$14))*60,0)-G52)),MIN(IF((H52-$B$14)&lt;0,0,(H52-$B$14)),(H52-G52))))*24,"")-I52,"")</f>
        <v>9</v>
      </c>
      <c r="K52" s="73">
        <f>IF(AND(G52&lt;&gt;"",H52&lt;&gt;""),((IF(G52&lt;$D$48,MIN($D$48-G52,H52-G52),0)+IF(H52&gt;$D$48+TIME($G$48,($G$48-INT($G$48))*60,0),MIN((H52-$D$48-TIME($G$48,($G$48-INT($G$48))*60,0)),(H52-G52)),0))*24),"")</f>
        <v>0</v>
      </c>
      <c r="L52" s="73"/>
      <c r="M52" s="73"/>
      <c r="N52" s="99">
        <v>0</v>
      </c>
    </row>
    <row r="53" spans="3:14"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318">
        <f>SUM(N51:N52)</f>
        <v>950.75495192307699</v>
      </c>
    </row>
    <row r="54" spans="3:14">
      <c r="N54" s="138"/>
    </row>
    <row r="55" spans="3:14">
      <c r="N55" s="138"/>
    </row>
    <row r="56" spans="3:14">
      <c r="D56" s="132" t="s">
        <v>190</v>
      </c>
      <c r="E56" s="132"/>
      <c r="N56" s="138"/>
    </row>
    <row r="57" spans="3:14">
      <c r="N57" s="138"/>
    </row>
    <row r="58" spans="3:14">
      <c r="D58" s="591">
        <v>46255</v>
      </c>
      <c r="E58" s="591"/>
      <c r="F58" s="591"/>
      <c r="G58" s="88">
        <v>731.35</v>
      </c>
      <c r="H58" s="148" t="s">
        <v>280</v>
      </c>
      <c r="I58" s="254"/>
      <c r="N58" s="138"/>
    </row>
    <row r="59" spans="3:14">
      <c r="E59" s="88"/>
      <c r="F59" s="88"/>
      <c r="G59" s="256">
        <f>G58*H59</f>
        <v>219.405</v>
      </c>
      <c r="H59" s="253">
        <v>0.3</v>
      </c>
      <c r="I59" s="254"/>
      <c r="N59" s="138"/>
    </row>
    <row r="60" spans="3:14">
      <c r="E60" s="91"/>
      <c r="F60" s="91"/>
      <c r="G60" s="91"/>
      <c r="N60" s="138"/>
    </row>
    <row r="61" spans="3:14">
      <c r="E61" s="91"/>
      <c r="F61" s="91"/>
      <c r="G61" s="91"/>
      <c r="H61" s="257">
        <f>G59</f>
        <v>219.405</v>
      </c>
      <c r="N61" s="138"/>
    </row>
    <row r="62" spans="3:14">
      <c r="E62" s="132"/>
      <c r="F62" s="132"/>
      <c r="G62" s="132"/>
      <c r="H62" s="133"/>
      <c r="I62" s="133"/>
      <c r="N62" s="138"/>
    </row>
    <row r="63" spans="3:14">
      <c r="N63" s="138"/>
    </row>
    <row r="64" spans="3:14">
      <c r="D64" s="132"/>
      <c r="E64" s="132"/>
      <c r="F64" s="132"/>
      <c r="G64" s="133"/>
      <c r="H64" s="133"/>
      <c r="I64" s="133"/>
    </row>
    <row r="65" spans="3:14">
      <c r="D65" s="132"/>
      <c r="E65" s="132"/>
      <c r="F65" s="132"/>
      <c r="G65" s="133"/>
      <c r="H65" s="133"/>
      <c r="I65" s="133"/>
    </row>
    <row r="66" spans="3:14">
      <c r="D66" s="132" t="s">
        <v>190</v>
      </c>
      <c r="E66" s="132"/>
      <c r="F66" s="132"/>
      <c r="G66" s="133"/>
      <c r="H66" s="133"/>
      <c r="I66" s="133"/>
    </row>
    <row r="67" spans="3:14">
      <c r="D67" s="54" t="s">
        <v>10</v>
      </c>
      <c r="E67" s="54"/>
      <c r="F67" s="54"/>
      <c r="G67" s="54" t="s">
        <v>11</v>
      </c>
      <c r="H67" s="54" t="s">
        <v>12</v>
      </c>
      <c r="I67" s="55" t="s">
        <v>13</v>
      </c>
    </row>
    <row r="68" spans="3:14">
      <c r="D68" s="56">
        <v>2026</v>
      </c>
      <c r="E68" s="56"/>
      <c r="F68" s="56"/>
      <c r="G68" s="56" t="s">
        <v>189</v>
      </c>
      <c r="H68" s="56">
        <v>27</v>
      </c>
      <c r="I68" s="56" t="s">
        <v>15</v>
      </c>
    </row>
    <row r="69" spans="3:14">
      <c r="D69" s="57"/>
      <c r="E69" s="57"/>
      <c r="F69" s="57"/>
      <c r="G69" s="57"/>
    </row>
    <row r="70" spans="3:14" ht="33.75">
      <c r="D70" s="159" t="s">
        <v>16</v>
      </c>
      <c r="E70" s="159"/>
      <c r="F70" s="159"/>
      <c r="G70" s="159" t="s">
        <v>17</v>
      </c>
      <c r="H70" s="159" t="s">
        <v>191</v>
      </c>
      <c r="I70" s="167"/>
      <c r="J70" t="s">
        <v>192</v>
      </c>
    </row>
    <row r="71" spans="3:14">
      <c r="D71" s="61">
        <v>0.33333333333333298</v>
      </c>
      <c r="E71" s="61"/>
      <c r="F71" s="61"/>
      <c r="G71" s="62">
        <v>9</v>
      </c>
      <c r="H71" s="63">
        <v>45.63</v>
      </c>
      <c r="I71" s="130"/>
    </row>
    <row r="73" spans="3:14"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</row>
    <row r="74" spans="3:14">
      <c r="C74" s="131"/>
      <c r="D74" s="131" t="s">
        <v>12</v>
      </c>
      <c r="E74" s="131"/>
      <c r="F74" s="131"/>
      <c r="G74" s="131" t="s">
        <v>21</v>
      </c>
      <c r="H74" s="131" t="s">
        <v>22</v>
      </c>
      <c r="I74" s="131" t="s">
        <v>23</v>
      </c>
      <c r="J74" s="131" t="s">
        <v>24</v>
      </c>
      <c r="K74" s="131" t="s">
        <v>25</v>
      </c>
      <c r="L74" s="131"/>
      <c r="M74" s="131"/>
      <c r="N74" s="131" t="s">
        <v>26</v>
      </c>
    </row>
    <row r="75" spans="3:14">
      <c r="C75" s="70" t="s">
        <v>193</v>
      </c>
      <c r="D75" s="71">
        <v>27</v>
      </c>
      <c r="E75" s="71"/>
      <c r="F75" s="71"/>
      <c r="G75" s="72">
        <v>0</v>
      </c>
      <c r="H75" s="72">
        <v>0</v>
      </c>
      <c r="I75" s="73"/>
      <c r="J75" s="73">
        <f>IFERROR(IF(AND(G75&lt;&gt;"",H75&lt;&gt;""),IF(G75&gt;$B$14+TIME($C$14,($C$14-INT($C$14))*60,0),0,IF(H75&gt;$B$14+TIME($C$14,($C$14-INT($C$14))*60,0),MIN(TIME($C$14,($C$14-INT($C$14))*60,0),($B$14+TIME($C$14,($C$14-INT($C$14))*60,0)-G75)),MIN(IF((H75-$B$14)&lt;0,0,(H75-$B$14)),(H75-G75))))*24,"")-I75,"")</f>
        <v>0</v>
      </c>
      <c r="K75" s="73">
        <f>IF(AND(G75&lt;&gt;"",H75&lt;&gt;""),((IF(G75&lt;$B$14,MIN($B$14-G75,H75-G75),0)+IF(H75&gt;$B$14+TIME($C$14,($C$14-INT($C$14))*60,0),MIN((H75-$B$14-TIME($C$14,($C$14-INT($C$14))*60,0)),(H75-G75)),0))*24),"")</f>
        <v>0</v>
      </c>
      <c r="L75" s="110"/>
      <c r="M75" s="102"/>
      <c r="N75" s="99">
        <f>(H71+(H71*169%))*K75</f>
        <v>0</v>
      </c>
    </row>
    <row r="76" spans="3:14">
      <c r="C76" s="70" t="s">
        <v>193</v>
      </c>
      <c r="D76" s="71">
        <v>3</v>
      </c>
      <c r="E76" s="71"/>
      <c r="F76" s="71"/>
      <c r="G76" s="72">
        <v>0</v>
      </c>
      <c r="H76" s="72">
        <v>0</v>
      </c>
      <c r="I76" s="73"/>
      <c r="J76" s="73">
        <f>IFERROR(IF(AND(G76&lt;&gt;"",H76&lt;&gt;""),IF(G76&gt;$B$14+TIME($C$14,($C$14-INT($C$14))*60,0),0,IF(H76&gt;$B$14+TIME($C$14,($C$14-INT($C$14))*60,0),MIN(TIME($C$14,($C$14-INT($C$14))*60,0),($B$14+TIME($C$14,($C$14-INT($C$14))*60,0)-G76)),MIN(IF((H76-$B$14)&lt;0,0,(H76-$B$14)),(H76-G76))))*24,"")-I76,"")</f>
        <v>0</v>
      </c>
      <c r="K76" s="73">
        <f>IF(AND(G76&lt;&gt;"",H76&lt;&gt;""),((IF(G76&lt;$D$48,MIN($D$48-G76,H76-G76),0)+IF(H76&gt;$D$48+TIME($G$48,($G$48-INT($G$48))*60,0),MIN((H76-$D$48-TIME($G$48,($G$48-INT($G$48))*60,0)),(H76-G76)),0))*24),"")</f>
        <v>0</v>
      </c>
      <c r="L76" s="73"/>
      <c r="M76" s="73"/>
      <c r="N76" s="99">
        <f>(H71+(H71*169%))*K76</f>
        <v>0</v>
      </c>
    </row>
    <row r="77" spans="3:14">
      <c r="C77" s="70"/>
      <c r="D77" s="71"/>
      <c r="E77" s="71"/>
      <c r="F77" s="71"/>
      <c r="G77" s="72"/>
      <c r="H77" s="72"/>
      <c r="I77" s="73"/>
      <c r="J77" s="73"/>
      <c r="K77" s="73"/>
      <c r="L77" s="73"/>
      <c r="M77" s="73"/>
      <c r="N77" s="99"/>
    </row>
    <row r="78" spans="3:14"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137">
        <f>SUM(N75:N76)</f>
        <v>0</v>
      </c>
    </row>
    <row r="79" spans="3:14">
      <c r="G79" s="606"/>
      <c r="H79" s="606"/>
    </row>
    <row r="82" spans="3:3">
      <c r="C82" s="91" t="s">
        <v>141</v>
      </c>
    </row>
    <row r="83" spans="3:3">
      <c r="C83" t="s">
        <v>66</v>
      </c>
    </row>
    <row r="84" spans="3:3">
      <c r="C84" s="91"/>
    </row>
  </sheetData>
  <mergeCells count="13">
    <mergeCell ref="G79:H79"/>
    <mergeCell ref="A6:N6"/>
    <mergeCell ref="C7:D7"/>
    <mergeCell ref="M7:O7"/>
    <mergeCell ref="C8:D8"/>
    <mergeCell ref="M8:O8"/>
    <mergeCell ref="G32:H32"/>
    <mergeCell ref="G34:H34"/>
    <mergeCell ref="G36:H36"/>
    <mergeCell ref="G38:H38"/>
    <mergeCell ref="G39:H39"/>
    <mergeCell ref="B41:N41"/>
    <mergeCell ref="D58:F58"/>
  </mergeCells>
  <conditionalFormatting sqref="C17:G31">
    <cfRule type="expression" dxfId="247" priority="29">
      <formula>ISNUMBER(SEARCH(TEXT($C17,"ddd"),$G$11))</formula>
    </cfRule>
  </conditionalFormatting>
  <conditionalFormatting sqref="C51:N52">
    <cfRule type="expression" dxfId="246" priority="8">
      <formula>ISNUMBER(SEARCH(TEXT($C51,"ddd"),$G$11))</formula>
    </cfRule>
  </conditionalFormatting>
  <conditionalFormatting sqref="H21:H31">
    <cfRule type="expression" dxfId="245" priority="1">
      <formula>ISNUMBER(SEARCH(TEXT($C21,"ddd"),$G$11))</formula>
    </cfRule>
  </conditionalFormatting>
  <conditionalFormatting sqref="H17:I20">
    <cfRule type="expression" dxfId="244" priority="4">
      <formula>ISNUMBER(SEARCH(TEXT($C17,"ddd"),$G$11))</formula>
    </cfRule>
  </conditionalFormatting>
  <conditionalFormatting sqref="I21:I26">
    <cfRule type="expression" dxfId="243" priority="14">
      <formula>ISNUMBER(SEARCH(TEXT($C21,"ddd"),$G$11))</formula>
    </cfRule>
  </conditionalFormatting>
  <conditionalFormatting sqref="I27:K31">
    <cfRule type="expression" dxfId="242" priority="66">
      <formula>ISNUMBER(SEARCH(TEXT($C27,"ddd"),$G$11))</formula>
    </cfRule>
  </conditionalFormatting>
  <conditionalFormatting sqref="J17:K26">
    <cfRule type="expression" dxfId="241" priority="98">
      <formula>ISNUMBER(SEARCH(TEXT($C17,"ddd"),$G$11))</formula>
    </cfRule>
  </conditionalFormatting>
  <conditionalFormatting sqref="L17:L31">
    <cfRule type="expression" dxfId="240" priority="9">
      <formula>ISNUMBER(SEARCH(TEXT($C17,"ddd"),$G$11))</formula>
    </cfRule>
  </conditionalFormatting>
  <conditionalFormatting sqref="N17:N26">
    <cfRule type="expression" dxfId="239" priority="131">
      <formula>ISNUMBER(SEARCH(TEXT($C17,"ddd"),$G$11))</formula>
    </cfRule>
  </conditionalFormatting>
  <conditionalFormatting sqref="N27">
    <cfRule type="expression" dxfId="238" priority="216">
      <formula>ISNUMBER(SEARCH(TEXT(#REF!,"ddd"),$F$10))</formula>
    </cfRule>
  </conditionalFormatting>
  <conditionalFormatting sqref="N28:N31 I75:L75 G75:H76 C75:F77 N75:N77 I76 J76:M77 G77:I77">
    <cfRule type="expression" dxfId="237" priority="174">
      <formula>ISNUMBER(SEARCH(TEXT($C28,"ddd"),$G$11))</formula>
    </cfRule>
  </conditionalFormatting>
  <dataValidations count="5">
    <dataValidation type="list" allowBlank="1" showInputMessage="1" showErrorMessage="1" sqref="D11 H45" xr:uid="{00000000-0002-0000-1300-000000000000}">
      <formula1>DateCalc</formula1>
    </dataValidation>
    <dataValidation type="list" allowBlank="1" showInputMessage="1" showErrorMessage="1" sqref="H68 E11:F11" xr:uid="{00000000-0002-0000-1300-000001000000}">
      <formula1>BASA!DateCalc</formula1>
    </dataValidation>
    <dataValidation type="custom" allowBlank="1" showInputMessage="1" showErrorMessage="1" sqref="G75:G77 G51:G52 E17:G31" xr:uid="{00000000-0002-0000-1300-000002000000}">
      <formula1>AND($G17&lt;=1,ISNUMBER($G17))</formula1>
    </dataValidation>
    <dataValidation type="custom" allowBlank="1" showInputMessage="1" showErrorMessage="1" sqref="H75:H77 H51:H52 H17:H31" xr:uid="{00000000-0002-0000-1300-000003000000}">
      <formula1>AND($H17&lt;=1,ISNUMBER($H17),($H17&gt;=$G17))</formula1>
    </dataValidation>
    <dataValidation type="list" allowBlank="1" showInputMessage="1" showErrorMessage="1" sqref="I68 G11 D68:G68" xr:uid="{00000000-0002-0000-1300-000007000000}"/>
  </dataValidations>
  <pageMargins left="1.07083333333333" right="0.25" top="0.359722222222222" bottom="0.39791666666666697" header="0.29861111111111099" footer="0.29861111111111099"/>
  <pageSetup paperSize="9" scale="91" orientation="landscape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67617" r:id="rId4" name="Check Box 1">
              <controlPr defaultSize="0" print="0" autoPict="0">
                <anchor moveWithCells="1">
                  <from>
                    <xdr:col>7</xdr:col>
                    <xdr:colOff>180975</xdr:colOff>
                    <xdr:row>9</xdr:row>
                    <xdr:rowOff>28575</xdr:rowOff>
                  </from>
                  <to>
                    <xdr:col>8</xdr:col>
                    <xdr:colOff>571500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300-000004000000}">
          <x14:formula1>
            <xm:f>Data!$D$2:$D$16</xm:f>
          </x14:formula1>
          <xm:sqref>I45</xm:sqref>
        </x14:dataValidation>
        <x14:dataValidation type="list" allowBlank="1" showInputMessage="1" showErrorMessage="1" xr:uid="{00000000-0002-0000-1300-000005000000}">
          <x14:formula1>
            <xm:f>Data!$A$2:$A$15</xm:f>
          </x14:formula1>
          <xm:sqref>B11 D45:F45</xm:sqref>
        </x14:dataValidation>
        <x14:dataValidation type="list" allowBlank="1" showInputMessage="1" showErrorMessage="1" xr:uid="{00000000-0002-0000-1300-000006000000}">
          <x14:formula1>
            <xm:f>Data!$B$2:$B$13</xm:f>
          </x14:formula1>
          <xm:sqref>C11 G45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ABA9F-825A-45F5-9D1D-F2D533FD63DD}">
  <dimension ref="A5:AH84"/>
  <sheetViews>
    <sheetView showGridLines="0" view="pageLayout" topLeftCell="A13" zoomScale="120" zoomScaleNormal="100" zoomScalePageLayoutView="120" workbookViewId="0">
      <selection activeCell="J13" sqref="J13"/>
    </sheetView>
  </sheetViews>
  <sheetFormatPr defaultColWidth="9" defaultRowHeight="12.75"/>
  <cols>
    <col min="1" max="1" width="1.625" customWidth="1"/>
    <col min="2" max="2" width="5.375" customWidth="1"/>
    <col min="3" max="3" width="7.125" customWidth="1"/>
    <col min="4" max="6" width="7.625" customWidth="1"/>
    <col min="7" max="7" width="10.125" customWidth="1"/>
    <col min="8" max="8" width="9.625" customWidth="1"/>
    <col min="9" max="9" width="8.125" customWidth="1"/>
    <col min="10" max="10" width="10.125" customWidth="1"/>
    <col min="11" max="11" width="7.875" customWidth="1"/>
    <col min="12" max="12" width="10.125" customWidth="1"/>
    <col min="13" max="13" width="10.375" customWidth="1"/>
    <col min="14" max="14" width="10.875" customWidth="1"/>
    <col min="15" max="15" width="16.875" customWidth="1"/>
    <col min="18" max="18" width="11.125" customWidth="1"/>
  </cols>
  <sheetData>
    <row r="5" spans="1:15" ht="25.5" customHeight="1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15" s="47" customFormat="1" ht="25.5" customHeight="1">
      <c r="A6" s="603"/>
      <c r="B6" s="603"/>
      <c r="C6" s="603"/>
      <c r="D6" s="603"/>
      <c r="E6" s="603"/>
      <c r="F6" s="603"/>
      <c r="G6" s="603"/>
      <c r="H6" s="603"/>
      <c r="I6" s="603"/>
      <c r="J6" s="603"/>
      <c r="K6" s="603"/>
      <c r="L6" s="603"/>
      <c r="M6" s="603"/>
      <c r="N6" s="603"/>
    </row>
    <row r="7" spans="1:15" ht="18.75" customHeight="1">
      <c r="C7" s="527" t="s">
        <v>3</v>
      </c>
      <c r="D7" s="527"/>
      <c r="E7" s="49"/>
      <c r="F7" s="49"/>
      <c r="G7" s="50" t="s">
        <v>460</v>
      </c>
      <c r="H7" s="51"/>
      <c r="K7" s="49" t="s">
        <v>174</v>
      </c>
      <c r="M7" s="599" t="str">
        <f>PAALAN!L7</f>
        <v>September  11-25, 2026</v>
      </c>
      <c r="N7" s="599"/>
      <c r="O7" s="599"/>
    </row>
    <row r="8" spans="1:15" ht="18.75" customHeight="1">
      <c r="C8" s="527" t="s">
        <v>175</v>
      </c>
      <c r="D8" s="527"/>
      <c r="E8" s="49"/>
      <c r="F8" s="49"/>
      <c r="G8" s="50" t="s">
        <v>75</v>
      </c>
      <c r="H8" s="51"/>
      <c r="K8" s="49" t="s">
        <v>176</v>
      </c>
      <c r="L8" s="92"/>
      <c r="M8" s="600" t="str">
        <f>PAALAN!L8</f>
        <v>9/31/2026</v>
      </c>
      <c r="N8" s="600"/>
      <c r="O8" s="600"/>
    </row>
    <row r="9" spans="1:15">
      <c r="C9" s="52"/>
      <c r="D9" s="53"/>
      <c r="E9" s="53"/>
      <c r="F9" s="53"/>
      <c r="G9" s="53"/>
    </row>
    <row r="10" spans="1:15">
      <c r="B10" s="54" t="s">
        <v>10</v>
      </c>
      <c r="C10" s="54" t="s">
        <v>11</v>
      </c>
      <c r="D10" s="54" t="s">
        <v>12</v>
      </c>
      <c r="E10" s="54"/>
      <c r="F10" s="54"/>
      <c r="G10" s="55" t="s">
        <v>13</v>
      </c>
    </row>
    <row r="11" spans="1:15">
      <c r="B11" s="56">
        <v>2026</v>
      </c>
      <c r="C11" s="56" t="s">
        <v>177</v>
      </c>
      <c r="D11" s="56">
        <v>11</v>
      </c>
      <c r="E11" s="56"/>
      <c r="F11" s="56"/>
      <c r="G11" s="56" t="s">
        <v>178</v>
      </c>
    </row>
    <row r="12" spans="1:15">
      <c r="B12" s="57"/>
      <c r="C12" s="57"/>
      <c r="H12" s="57"/>
      <c r="K12" s="57"/>
      <c r="L12" s="57"/>
      <c r="M12" s="57"/>
    </row>
    <row r="13" spans="1:15" ht="32.1" customHeight="1">
      <c r="B13" s="159" t="s">
        <v>16</v>
      </c>
      <c r="C13" s="159" t="s">
        <v>17</v>
      </c>
      <c r="D13" s="159" t="s">
        <v>18</v>
      </c>
      <c r="E13" s="160"/>
      <c r="F13" s="160"/>
      <c r="G13" s="160" t="s">
        <v>19</v>
      </c>
      <c r="H13" s="161" t="s">
        <v>179</v>
      </c>
      <c r="L13" s="93"/>
      <c r="M13" s="93"/>
      <c r="N13" s="94"/>
    </row>
    <row r="14" spans="1:15">
      <c r="B14" s="61">
        <v>0.33333333333333331</v>
      </c>
      <c r="C14" s="62">
        <v>10</v>
      </c>
      <c r="D14" s="63">
        <f>(13000/26)/8</f>
        <v>62.5</v>
      </c>
      <c r="E14" s="142"/>
      <c r="F14" s="142"/>
      <c r="G14" s="64">
        <f>(D14*25%)+D14</f>
        <v>78.125</v>
      </c>
      <c r="H14" s="65">
        <v>105</v>
      </c>
      <c r="I14" s="95"/>
      <c r="L14" s="57"/>
      <c r="M14" s="57"/>
      <c r="N14" s="95"/>
    </row>
    <row r="15" spans="1:15">
      <c r="N15" s="96"/>
    </row>
    <row r="16" spans="1:15" ht="23.25">
      <c r="B16" s="66"/>
      <c r="C16" s="67" t="s">
        <v>20</v>
      </c>
      <c r="D16" s="67" t="s">
        <v>12</v>
      </c>
      <c r="E16" s="67"/>
      <c r="F16" s="67"/>
      <c r="G16" s="67" t="s">
        <v>21</v>
      </c>
      <c r="H16" s="67" t="s">
        <v>22</v>
      </c>
      <c r="I16" s="68" t="s">
        <v>23</v>
      </c>
      <c r="J16" s="68" t="s">
        <v>24</v>
      </c>
      <c r="K16" s="68" t="s">
        <v>25</v>
      </c>
      <c r="L16" s="67" t="s">
        <v>180</v>
      </c>
      <c r="M16" s="134" t="s">
        <v>181</v>
      </c>
      <c r="N16" s="67" t="s">
        <v>26</v>
      </c>
    </row>
    <row r="17" spans="2:34">
      <c r="B17" s="432">
        <v>1</v>
      </c>
      <c r="C17" s="429">
        <f>DATE($B$11,MATCH($C$11,Data!$B$2:$B$13,0),AZMAN!$D$11)</f>
        <v>46276</v>
      </c>
      <c r="D17" s="430">
        <f>DATE($B$11,MATCH($C$11,Data!$B$2:$B$13,0),AZMAN!$D$11)</f>
        <v>46276</v>
      </c>
      <c r="E17" s="424">
        <v>0</v>
      </c>
      <c r="F17" s="424">
        <v>0</v>
      </c>
      <c r="G17" s="424">
        <f t="shared" ref="G17:G29" si="0">E17-F17</f>
        <v>0</v>
      </c>
      <c r="H17" s="424">
        <v>0</v>
      </c>
      <c r="I17" s="425">
        <v>0</v>
      </c>
      <c r="J17" s="425">
        <f t="shared" ref="J17:J31" si="1">IFERROR(IF(AND(G17&lt;&gt;"",H17&lt;&gt;""),IF(G17&gt;$B$14+TIME($C$14,($C$14-INT($C$14))*60,0),0,IF(H17&gt;$B$14+TIME($C$14,($C$14-INT($C$14))*60,0),MIN(TIME($C$14,($C$14-INT($C$14))*60,0),($B$14+TIME($C$14,($C$14-INT($C$14))*60,0)-G17)),MIN(IF((H17-$B$14)&lt;0,0,(H17-$B$14)),(H17-G17))))*24,"")-I17,"")</f>
        <v>0</v>
      </c>
      <c r="K17" s="425">
        <v>0</v>
      </c>
      <c r="L17" s="431">
        <v>0</v>
      </c>
      <c r="M17" s="423">
        <f>(D14/60)*540</f>
        <v>562.5</v>
      </c>
      <c r="N17" s="427">
        <f>IFERROR(J17*IF(AND(ISNUMBER(SEARCH(TEXT(C17,"ddd"),$G$11)),Data!$F$2),$G$14,$D$14)+K17*$G$14,"")</f>
        <v>0</v>
      </c>
      <c r="O17" s="141">
        <f t="shared" ref="O17:O31" si="2">M17+N17</f>
        <v>562.5</v>
      </c>
      <c r="P17" s="100"/>
      <c r="Q17" s="89"/>
    </row>
    <row r="18" spans="2:34">
      <c r="B18" s="432">
        <v>2</v>
      </c>
      <c r="C18" s="429">
        <f t="shared" ref="C18:D31" si="3">C17+1</f>
        <v>46277</v>
      </c>
      <c r="D18" s="430">
        <f t="shared" si="3"/>
        <v>46277</v>
      </c>
      <c r="E18" s="424">
        <v>0.375</v>
      </c>
      <c r="F18" s="424">
        <v>0</v>
      </c>
      <c r="G18" s="424">
        <f t="shared" si="0"/>
        <v>0.375</v>
      </c>
      <c r="H18" s="424">
        <v>0.5</v>
      </c>
      <c r="I18" s="425">
        <v>0</v>
      </c>
      <c r="J18" s="425">
        <f t="shared" si="1"/>
        <v>3</v>
      </c>
      <c r="K18" s="425">
        <v>1</v>
      </c>
      <c r="L18" s="431">
        <f>E18-B14</f>
        <v>4.1666666666666685E-2</v>
      </c>
      <c r="M18" s="423">
        <f>(D14/60)*0</f>
        <v>0</v>
      </c>
      <c r="N18" s="427">
        <f>IFERROR(J18*IF(AND(ISNUMBER(SEARCH(TEXT(C18,"ddd"),$G$11)),Data!$F$2),$G$14,$D$14)+K18*$G$14,"")</f>
        <v>265.625</v>
      </c>
      <c r="O18" s="141">
        <f t="shared" si="2"/>
        <v>265.625</v>
      </c>
      <c r="P18" s="89"/>
      <c r="Q18" s="89"/>
    </row>
    <row r="19" spans="2:34">
      <c r="B19" s="432"/>
      <c r="C19" s="429">
        <f t="shared" si="3"/>
        <v>46278</v>
      </c>
      <c r="D19" s="430">
        <f t="shared" si="3"/>
        <v>46278</v>
      </c>
      <c r="E19" s="424">
        <v>0</v>
      </c>
      <c r="F19" s="424">
        <v>0</v>
      </c>
      <c r="G19" s="424">
        <f t="shared" si="0"/>
        <v>0</v>
      </c>
      <c r="H19" s="424">
        <v>0</v>
      </c>
      <c r="I19" s="425">
        <v>0</v>
      </c>
      <c r="J19" s="425">
        <f t="shared" si="1"/>
        <v>0</v>
      </c>
      <c r="K19" s="425">
        <f t="shared" ref="K19:K28" si="4">IF(AND(G19&lt;&gt;"",H19&lt;&gt;""),((IF(G19&lt;$B$14,MIN($B$14-G19,H19-G19),0)+IF(H19&gt;$B$14+TIME($C$14,($C$14-INT($C$14))*60,0),MIN((H19-$B$14-TIME($C$14,($C$14-INT($C$14))*60,0)),(H19-G19)),0))*24),"")</f>
        <v>0</v>
      </c>
      <c r="L19" s="431">
        <v>0</v>
      </c>
      <c r="M19" s="98">
        <f>(D14/60)*0</f>
        <v>0</v>
      </c>
      <c r="N19" s="427">
        <f>IFERROR(J19*IF(AND(ISNUMBER(SEARCH(TEXT(C19,"ddd"),$G$11)),Data!$F$2),$G$14,$D$14)+K19*$G$14,"")</f>
        <v>0</v>
      </c>
      <c r="O19" s="141">
        <f t="shared" si="2"/>
        <v>0</v>
      </c>
      <c r="P19" s="100"/>
      <c r="Q19" s="104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</row>
    <row r="20" spans="2:34">
      <c r="B20" s="432">
        <v>3</v>
      </c>
      <c r="C20" s="429">
        <f t="shared" si="3"/>
        <v>46279</v>
      </c>
      <c r="D20" s="430">
        <f t="shared" si="3"/>
        <v>46279</v>
      </c>
      <c r="E20" s="424">
        <v>0.33333333333333331</v>
      </c>
      <c r="F20" s="424">
        <v>0</v>
      </c>
      <c r="G20" s="424">
        <f t="shared" si="0"/>
        <v>0.33333333333333331</v>
      </c>
      <c r="H20" s="424">
        <v>0.75</v>
      </c>
      <c r="I20" s="425">
        <v>1</v>
      </c>
      <c r="J20" s="425">
        <f t="shared" si="1"/>
        <v>9</v>
      </c>
      <c r="K20" s="425">
        <f t="shared" si="4"/>
        <v>0</v>
      </c>
      <c r="L20" s="431">
        <f>G20-B14</f>
        <v>0</v>
      </c>
      <c r="M20" s="423">
        <f>(D14/60)*0</f>
        <v>0</v>
      </c>
      <c r="N20" s="427">
        <f>IFERROR(J20*IF(AND(ISNUMBER(SEARCH(TEXT(C20,"ddd"),$G$11)),Data!$F$2),$G$14,$D$14)+K20*$G$14,"")</f>
        <v>562.5</v>
      </c>
      <c r="O20" s="141">
        <f t="shared" si="2"/>
        <v>562.5</v>
      </c>
      <c r="P20" s="103"/>
      <c r="Q20" s="103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28"/>
    </row>
    <row r="21" spans="2:34">
      <c r="B21" s="432">
        <v>4</v>
      </c>
      <c r="C21" s="429">
        <f t="shared" si="3"/>
        <v>46280</v>
      </c>
      <c r="D21" s="430">
        <f t="shared" si="3"/>
        <v>46280</v>
      </c>
      <c r="E21" s="424">
        <v>0.54166666666666663</v>
      </c>
      <c r="F21" s="424">
        <v>0</v>
      </c>
      <c r="G21" s="424">
        <f t="shared" si="0"/>
        <v>0.54166666666666663</v>
      </c>
      <c r="H21" s="424">
        <v>0.75</v>
      </c>
      <c r="I21" s="425">
        <v>0</v>
      </c>
      <c r="J21" s="425">
        <f t="shared" si="1"/>
        <v>5.0000000000000009</v>
      </c>
      <c r="K21" s="425">
        <f t="shared" si="4"/>
        <v>0</v>
      </c>
      <c r="L21" s="431">
        <f>E21-B14</f>
        <v>0.20833333333333331</v>
      </c>
      <c r="M21" s="423">
        <f>(D14/60)*240</f>
        <v>250.00000000000003</v>
      </c>
      <c r="N21" s="427">
        <f>IFERROR(J21*IF(AND(ISNUMBER(SEARCH(TEXT(C21,"ddd"),$G$11)),Data!$F$2),$G$14,$D$14)+K21*$G$14,"")</f>
        <v>312.50000000000006</v>
      </c>
      <c r="O21" s="141">
        <f t="shared" si="2"/>
        <v>562.50000000000011</v>
      </c>
      <c r="P21" s="162"/>
      <c r="Q21" s="108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4"/>
    </row>
    <row r="22" spans="2:34">
      <c r="B22" s="432">
        <v>5</v>
      </c>
      <c r="C22" s="429">
        <f t="shared" si="3"/>
        <v>46281</v>
      </c>
      <c r="D22" s="430">
        <f t="shared" si="3"/>
        <v>46281</v>
      </c>
      <c r="E22" s="424">
        <v>0.33333333333333331</v>
      </c>
      <c r="F22" s="424">
        <v>0</v>
      </c>
      <c r="G22" s="424">
        <f t="shared" si="0"/>
        <v>0.33333333333333331</v>
      </c>
      <c r="H22" s="424">
        <v>0.75</v>
      </c>
      <c r="I22" s="425">
        <v>1</v>
      </c>
      <c r="J22" s="425">
        <f t="shared" si="1"/>
        <v>9</v>
      </c>
      <c r="K22" s="425">
        <f t="shared" si="4"/>
        <v>0</v>
      </c>
      <c r="L22" s="431">
        <f>E22-B14</f>
        <v>0</v>
      </c>
      <c r="M22" s="423">
        <f>(D14/60)*0</f>
        <v>0</v>
      </c>
      <c r="N22" s="427">
        <f>IFERROR(J22*IF(AND(ISNUMBER(SEARCH(TEXT(C22,"ddd"),$G$11)),Data!$F$2),$G$14,$D$14)+K22*$G$14,"")</f>
        <v>562.5</v>
      </c>
      <c r="O22" s="141">
        <f t="shared" si="2"/>
        <v>562.5</v>
      </c>
      <c r="P22" s="163">
        <f>O21-O22</f>
        <v>0</v>
      </c>
      <c r="Q22" s="135"/>
      <c r="R22" s="96">
        <v>0.40486111111111101</v>
      </c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4"/>
    </row>
    <row r="23" spans="2:34">
      <c r="B23" s="432">
        <v>6</v>
      </c>
      <c r="C23" s="429">
        <f t="shared" si="3"/>
        <v>46282</v>
      </c>
      <c r="D23" s="430">
        <f t="shared" si="3"/>
        <v>46282</v>
      </c>
      <c r="E23" s="424">
        <v>0.54166666666666663</v>
      </c>
      <c r="F23" s="424">
        <v>0</v>
      </c>
      <c r="G23" s="424">
        <f t="shared" si="0"/>
        <v>0.54166666666666663</v>
      </c>
      <c r="H23" s="424">
        <v>0.75</v>
      </c>
      <c r="I23" s="425">
        <v>0</v>
      </c>
      <c r="J23" s="425">
        <f t="shared" si="1"/>
        <v>5.0000000000000009</v>
      </c>
      <c r="K23" s="425">
        <v>0</v>
      </c>
      <c r="L23" s="431">
        <f>G23-B14</f>
        <v>0.20833333333333331</v>
      </c>
      <c r="M23" s="423">
        <f>(D14/60)*240</f>
        <v>250.00000000000003</v>
      </c>
      <c r="N23" s="427">
        <f>IFERROR(J23*IF(AND(ISNUMBER(SEARCH(TEXT(C23,"ddd"),$G$11)),Data!$F$2),$G$14,$D$14)+K23*$G$14,"")</f>
        <v>312.50000000000006</v>
      </c>
      <c r="O23" s="141">
        <f t="shared" si="2"/>
        <v>562.50000000000011</v>
      </c>
      <c r="P23" s="150"/>
      <c r="Q23" s="89"/>
      <c r="R23" s="96">
        <v>1.0416666666666701E-2</v>
      </c>
    </row>
    <row r="24" spans="2:34">
      <c r="B24" s="432">
        <v>7</v>
      </c>
      <c r="C24" s="429">
        <f t="shared" si="3"/>
        <v>46283</v>
      </c>
      <c r="D24" s="430">
        <f t="shared" si="3"/>
        <v>46283</v>
      </c>
      <c r="E24" s="424">
        <v>0.54166666666666663</v>
      </c>
      <c r="F24" s="424">
        <v>0</v>
      </c>
      <c r="G24" s="424">
        <f t="shared" si="0"/>
        <v>0.54166666666666663</v>
      </c>
      <c r="H24" s="424">
        <v>0.75</v>
      </c>
      <c r="I24" s="425">
        <v>0</v>
      </c>
      <c r="J24" s="425">
        <f t="shared" si="1"/>
        <v>5.0000000000000009</v>
      </c>
      <c r="K24" s="425">
        <v>0</v>
      </c>
      <c r="L24" s="431">
        <f>E24-B14</f>
        <v>0.20833333333333331</v>
      </c>
      <c r="M24" s="423">
        <f>(D14/60)*240</f>
        <v>250.00000000000003</v>
      </c>
      <c r="N24" s="427">
        <f>IFERROR(J24*IF(AND(ISNUMBER(SEARCH(TEXT(C24,"ddd"),$G$11)),Data!$F$2),$G$14,$D$14)+K24*$G$14,"")</f>
        <v>312.50000000000006</v>
      </c>
      <c r="O24" s="141">
        <f t="shared" si="2"/>
        <v>562.50000000000011</v>
      </c>
      <c r="P24" s="155"/>
      <c r="Q24" s="89"/>
      <c r="R24" s="129">
        <f>R22-R23</f>
        <v>0.39444444444444432</v>
      </c>
    </row>
    <row r="25" spans="2:34">
      <c r="B25" s="432">
        <v>8</v>
      </c>
      <c r="C25" s="429">
        <f t="shared" si="3"/>
        <v>46284</v>
      </c>
      <c r="D25" s="430">
        <f t="shared" si="3"/>
        <v>46284</v>
      </c>
      <c r="E25" s="424">
        <v>0.375</v>
      </c>
      <c r="F25" s="424">
        <v>0</v>
      </c>
      <c r="G25" s="424">
        <f t="shared" si="0"/>
        <v>0.375</v>
      </c>
      <c r="H25" s="424">
        <v>0.5</v>
      </c>
      <c r="I25" s="425">
        <v>0</v>
      </c>
      <c r="J25" s="425">
        <f t="shared" si="1"/>
        <v>3</v>
      </c>
      <c r="K25" s="425">
        <f t="shared" si="4"/>
        <v>0</v>
      </c>
      <c r="L25" s="431">
        <f>E25-B14</f>
        <v>4.1666666666666685E-2</v>
      </c>
      <c r="M25" s="423">
        <f>(D14/60)*0</f>
        <v>0</v>
      </c>
      <c r="N25" s="427">
        <f>IFERROR(J25*IF(AND(ISNUMBER(SEARCH(TEXT(C25,"ddd"),$G$11)),Data!$F$2),$G$14,$D$14)+K25*$G$14,"")</f>
        <v>187.5</v>
      </c>
      <c r="O25" s="141">
        <f t="shared" si="2"/>
        <v>187.5</v>
      </c>
      <c r="P25" s="89"/>
      <c r="Q25" s="89"/>
    </row>
    <row r="26" spans="2:34">
      <c r="B26" s="432"/>
      <c r="C26" s="429">
        <f t="shared" si="3"/>
        <v>46285</v>
      </c>
      <c r="D26" s="430">
        <f t="shared" si="3"/>
        <v>46285</v>
      </c>
      <c r="E26" s="424">
        <v>0</v>
      </c>
      <c r="F26" s="424">
        <v>0</v>
      </c>
      <c r="G26" s="424">
        <f t="shared" si="0"/>
        <v>0</v>
      </c>
      <c r="H26" s="424">
        <v>0</v>
      </c>
      <c r="I26" s="425">
        <v>0</v>
      </c>
      <c r="J26" s="425">
        <f t="shared" si="1"/>
        <v>0</v>
      </c>
      <c r="K26" s="425">
        <f t="shared" si="4"/>
        <v>0</v>
      </c>
      <c r="L26" s="431">
        <v>0</v>
      </c>
      <c r="M26" s="98">
        <f>(D14/60)*0</f>
        <v>0</v>
      </c>
      <c r="N26" s="427">
        <f>IFERROR(J26*IF(AND(ISNUMBER(SEARCH(TEXT(C26,"ddd"),$G$11)),Data!$F$2),$G$14,$D$14)+K26*$G$14,"")</f>
        <v>0</v>
      </c>
      <c r="O26" s="141">
        <f t="shared" si="2"/>
        <v>0</v>
      </c>
      <c r="P26" s="89"/>
      <c r="Q26" s="89"/>
    </row>
    <row r="27" spans="2:34">
      <c r="B27" s="432">
        <v>9</v>
      </c>
      <c r="C27" s="429">
        <f t="shared" si="3"/>
        <v>46286</v>
      </c>
      <c r="D27" s="430">
        <f t="shared" si="3"/>
        <v>46286</v>
      </c>
      <c r="E27" s="424">
        <v>0</v>
      </c>
      <c r="F27" s="424">
        <v>0</v>
      </c>
      <c r="G27" s="424">
        <f t="shared" si="0"/>
        <v>0</v>
      </c>
      <c r="H27" s="424">
        <v>0</v>
      </c>
      <c r="I27" s="425">
        <v>0</v>
      </c>
      <c r="J27" s="425">
        <f t="shared" si="1"/>
        <v>0</v>
      </c>
      <c r="K27" s="425">
        <v>0</v>
      </c>
      <c r="L27" s="431">
        <v>0</v>
      </c>
      <c r="M27" s="423">
        <f>(D14/60)*540</f>
        <v>562.5</v>
      </c>
      <c r="N27" s="427">
        <f>IFERROR(J27*IF(AND(ISNUMBER(SEARCH(TEXT(C27,"ddd"),$G$11)),Data!$F$2),$G$14,$D$14)+K27*$G$14,"")</f>
        <v>0</v>
      </c>
      <c r="O27" s="141">
        <f t="shared" si="2"/>
        <v>562.5</v>
      </c>
      <c r="P27" s="127"/>
      <c r="Q27" s="89"/>
    </row>
    <row r="28" spans="2:34">
      <c r="B28" s="432">
        <v>10</v>
      </c>
      <c r="C28" s="429">
        <f t="shared" si="3"/>
        <v>46287</v>
      </c>
      <c r="D28" s="430">
        <f t="shared" si="3"/>
        <v>46287</v>
      </c>
      <c r="E28" s="424">
        <v>0.54166666666666663</v>
      </c>
      <c r="F28" s="424">
        <v>0</v>
      </c>
      <c r="G28" s="424">
        <f t="shared" si="0"/>
        <v>0.54166666666666663</v>
      </c>
      <c r="H28" s="424">
        <v>0.75</v>
      </c>
      <c r="I28" s="425">
        <v>1</v>
      </c>
      <c r="J28" s="425">
        <f t="shared" si="1"/>
        <v>4.0000000000000009</v>
      </c>
      <c r="K28" s="425">
        <f t="shared" si="4"/>
        <v>0</v>
      </c>
      <c r="L28" s="431">
        <f>E28-B14</f>
        <v>0.20833333333333331</v>
      </c>
      <c r="M28" s="423">
        <f>(D14/60)*240</f>
        <v>250.00000000000003</v>
      </c>
      <c r="N28" s="427">
        <f>IFERROR(J28*IF(AND(ISNUMBER(SEARCH(TEXT(C28,"ddd"),$G$11)),Data!$F$2),$G$14,$D$14)+K28*$G$14,"")</f>
        <v>250.00000000000006</v>
      </c>
      <c r="O28" s="141">
        <f t="shared" si="2"/>
        <v>500.00000000000011</v>
      </c>
      <c r="Q28" s="89"/>
    </row>
    <row r="29" spans="2:34">
      <c r="B29" s="432">
        <v>11</v>
      </c>
      <c r="C29" s="429">
        <f t="shared" si="3"/>
        <v>46288</v>
      </c>
      <c r="D29" s="430">
        <f t="shared" si="3"/>
        <v>46288</v>
      </c>
      <c r="E29" s="424">
        <v>0.33333333333333331</v>
      </c>
      <c r="F29" s="424">
        <v>0</v>
      </c>
      <c r="G29" s="424">
        <f t="shared" si="0"/>
        <v>0.33333333333333331</v>
      </c>
      <c r="H29" s="424">
        <v>0.75</v>
      </c>
      <c r="I29" s="425">
        <v>1</v>
      </c>
      <c r="J29" s="425">
        <f t="shared" si="1"/>
        <v>9</v>
      </c>
      <c r="K29" s="425">
        <v>0</v>
      </c>
      <c r="L29" s="431">
        <v>0</v>
      </c>
      <c r="M29" s="423">
        <f>(D14/60)*0</f>
        <v>0</v>
      </c>
      <c r="N29" s="427">
        <f>IFERROR(J29*IF(AND(ISNUMBER(SEARCH(TEXT(C29,"ddd"),$G$11)),Data!$F$2),$G$14,$D$14)+K29*$G$14,"")</f>
        <v>562.5</v>
      </c>
      <c r="O29" s="141">
        <f t="shared" si="2"/>
        <v>562.5</v>
      </c>
      <c r="P29" s="95">
        <f>O28-O29</f>
        <v>-62.499999999999886</v>
      </c>
      <c r="Q29" s="89"/>
    </row>
    <row r="30" spans="2:34">
      <c r="B30" s="432">
        <v>12</v>
      </c>
      <c r="C30" s="429">
        <f t="shared" si="3"/>
        <v>46289</v>
      </c>
      <c r="D30" s="430">
        <f t="shared" si="3"/>
        <v>46289</v>
      </c>
      <c r="E30" s="424">
        <v>0.54166666666666663</v>
      </c>
      <c r="F30" s="424">
        <v>0</v>
      </c>
      <c r="G30" s="424">
        <f>E30-F30</f>
        <v>0.54166666666666663</v>
      </c>
      <c r="H30" s="424">
        <v>0.75</v>
      </c>
      <c r="I30" s="425">
        <v>1</v>
      </c>
      <c r="J30" s="425">
        <f t="shared" si="1"/>
        <v>4.0000000000000009</v>
      </c>
      <c r="K30" s="425">
        <v>2</v>
      </c>
      <c r="L30" s="431">
        <f>G30-B14</f>
        <v>0.20833333333333331</v>
      </c>
      <c r="M30" s="423">
        <f>(D14/60)*240</f>
        <v>250.00000000000003</v>
      </c>
      <c r="N30" s="427">
        <f>IFERROR(J30*IF(AND(ISNUMBER(SEARCH(TEXT(C30,"ddd"),$G$11)),Data!$F$2),$G$14,$D$14)+K30*$G$14,"")</f>
        <v>406.25000000000006</v>
      </c>
      <c r="O30" s="141">
        <f t="shared" si="2"/>
        <v>656.25000000000011</v>
      </c>
      <c r="P30" s="127"/>
      <c r="Q30" s="89"/>
    </row>
    <row r="31" spans="2:34">
      <c r="B31" s="432">
        <v>13</v>
      </c>
      <c r="C31" s="429">
        <f t="shared" si="3"/>
        <v>46290</v>
      </c>
      <c r="D31" s="430">
        <f t="shared" si="3"/>
        <v>46290</v>
      </c>
      <c r="E31" s="424">
        <v>0</v>
      </c>
      <c r="F31" s="424">
        <v>0</v>
      </c>
      <c r="G31" s="424">
        <f>E31-F31</f>
        <v>0</v>
      </c>
      <c r="H31" s="424">
        <v>0</v>
      </c>
      <c r="I31" s="425">
        <v>0</v>
      </c>
      <c r="J31" s="425">
        <f t="shared" si="1"/>
        <v>0</v>
      </c>
      <c r="K31" s="425">
        <v>0</v>
      </c>
      <c r="L31" s="431">
        <v>0</v>
      </c>
      <c r="M31" s="423">
        <f>(D14/60)*540</f>
        <v>562.5</v>
      </c>
      <c r="N31" s="427">
        <f>IFERROR(J31*IF(AND(ISNUMBER(SEARCH(TEXT(C31,"ddd"),$G$11)),Data!$F$2),$G$14,$D$14)+K31*$G$14,"")</f>
        <v>0</v>
      </c>
      <c r="O31" s="141">
        <f t="shared" si="2"/>
        <v>562.5</v>
      </c>
      <c r="P31" s="95">
        <f>O28-O31</f>
        <v>-62.499999999999886</v>
      </c>
    </row>
    <row r="32" spans="2:34">
      <c r="B32" s="441"/>
      <c r="C32" s="442"/>
      <c r="D32" s="443"/>
      <c r="E32" s="444"/>
      <c r="F32" s="444"/>
      <c r="G32" s="593" t="s">
        <v>182</v>
      </c>
      <c r="H32" s="594"/>
      <c r="I32" s="445">
        <f>SUM(I17:I31)</f>
        <v>5</v>
      </c>
      <c r="J32" s="445">
        <f>SUM(J17:J31)</f>
        <v>56</v>
      </c>
      <c r="K32" s="445">
        <f>SUM(K17:K31)</f>
        <v>3</v>
      </c>
      <c r="L32" s="446">
        <f>SUM(L17:L31)</f>
        <v>1.1249999999999998</v>
      </c>
      <c r="M32" s="447">
        <f>SUM(M17:M31)</f>
        <v>2937.5</v>
      </c>
      <c r="N32" s="441"/>
      <c r="O32" s="165">
        <f>SUM(O17:O31)</f>
        <v>6671.875</v>
      </c>
      <c r="P32" s="165">
        <f>SUM(P17:P31)</f>
        <v>-124.99999999999977</v>
      </c>
      <c r="Q32" s="95">
        <f>O32+P32</f>
        <v>6546.875</v>
      </c>
    </row>
    <row r="33" spans="2:17">
      <c r="B33" s="66"/>
      <c r="C33" s="76"/>
      <c r="D33" s="77"/>
      <c r="E33" s="144"/>
      <c r="F33" s="144"/>
      <c r="G33" s="81" t="s">
        <v>39</v>
      </c>
      <c r="H33" s="82"/>
      <c r="I33" s="83"/>
      <c r="J33" s="84"/>
      <c r="K33" s="116"/>
      <c r="L33" s="102">
        <f>(D14/60)*186</f>
        <v>193.75</v>
      </c>
      <c r="M33" s="118"/>
      <c r="N33" s="166">
        <f>(D14*H14)</f>
        <v>6562.5</v>
      </c>
      <c r="O33" s="95"/>
      <c r="P33" s="95"/>
      <c r="Q33" s="95"/>
    </row>
    <row r="34" spans="2:17">
      <c r="B34" s="65"/>
      <c r="C34" s="65"/>
      <c r="D34" s="85"/>
      <c r="E34" s="85"/>
      <c r="F34" s="85"/>
      <c r="G34" s="592" t="s">
        <v>183</v>
      </c>
      <c r="H34" s="592"/>
      <c r="I34" s="80"/>
      <c r="J34" s="80">
        <f>H14-J32</f>
        <v>49</v>
      </c>
      <c r="K34" s="65"/>
      <c r="L34" s="120"/>
      <c r="M34" s="65"/>
      <c r="N34" s="121">
        <f>M32</f>
        <v>2937.5</v>
      </c>
      <c r="O34" s="151">
        <f>O32-O33</f>
        <v>6671.875</v>
      </c>
      <c r="P34" s="95"/>
      <c r="Q34" s="95"/>
    </row>
    <row r="35" spans="2:17">
      <c r="B35" s="65"/>
      <c r="C35" s="65"/>
      <c r="D35" s="85"/>
      <c r="E35" s="145"/>
      <c r="F35" s="145"/>
      <c r="G35" s="78" t="s">
        <v>41</v>
      </c>
      <c r="H35" s="79"/>
      <c r="I35" s="66"/>
      <c r="J35" s="66"/>
      <c r="K35" s="80"/>
      <c r="L35" s="80"/>
      <c r="M35" s="80"/>
      <c r="N35" s="121">
        <f>N33-N34</f>
        <v>3625</v>
      </c>
      <c r="O35" s="95"/>
      <c r="P35" s="95"/>
      <c r="Q35" s="95"/>
    </row>
    <row r="36" spans="2:17">
      <c r="B36" s="65"/>
      <c r="C36" s="65"/>
      <c r="D36" s="85"/>
      <c r="E36" s="146"/>
      <c r="F36" s="146"/>
      <c r="G36" s="604" t="s">
        <v>184</v>
      </c>
      <c r="H36" s="605"/>
      <c r="I36" s="80"/>
      <c r="J36" s="401"/>
      <c r="K36" s="122"/>
      <c r="L36" s="122"/>
      <c r="M36" s="122"/>
      <c r="N36" s="123">
        <f>G14*K32</f>
        <v>234.375</v>
      </c>
      <c r="O36" s="95"/>
    </row>
    <row r="37" spans="2:17">
      <c r="B37" s="65"/>
      <c r="C37" s="65"/>
      <c r="D37" s="85"/>
      <c r="E37" s="146"/>
      <c r="F37" s="146"/>
      <c r="G37" s="86" t="s">
        <v>185</v>
      </c>
      <c r="H37" s="87"/>
      <c r="I37" s="80"/>
      <c r="J37" s="66"/>
      <c r="K37" s="122"/>
      <c r="L37" s="122"/>
      <c r="M37" s="122"/>
      <c r="N37" s="123">
        <f>N53</f>
        <v>0</v>
      </c>
      <c r="O37" s="95"/>
    </row>
    <row r="38" spans="2:17">
      <c r="B38" s="65"/>
      <c r="C38" s="65"/>
      <c r="D38" s="85"/>
      <c r="E38" s="145"/>
      <c r="F38" s="145"/>
      <c r="G38" s="597" t="s">
        <v>186</v>
      </c>
      <c r="H38" s="598"/>
      <c r="I38" s="66"/>
      <c r="J38" s="66"/>
      <c r="K38" s="66"/>
      <c r="L38" s="66"/>
      <c r="M38" s="66"/>
      <c r="N38" s="124">
        <f>N35+N36+N37</f>
        <v>3859.375</v>
      </c>
      <c r="O38" s="95"/>
    </row>
    <row r="39" spans="2:17">
      <c r="D39" s="88"/>
      <c r="E39" s="88"/>
      <c r="F39" s="88"/>
      <c r="G39" s="589"/>
      <c r="H39" s="589"/>
      <c r="I39" s="90"/>
      <c r="J39" s="90"/>
      <c r="K39" s="125"/>
      <c r="L39" s="125"/>
      <c r="M39" s="125"/>
      <c r="N39" s="126"/>
      <c r="O39" s="127"/>
    </row>
    <row r="40" spans="2:17">
      <c r="D40" s="91"/>
      <c r="E40" s="91"/>
      <c r="F40" s="91"/>
      <c r="M40" t="s">
        <v>196</v>
      </c>
    </row>
    <row r="41" spans="2:17">
      <c r="B41" s="590" t="s">
        <v>187</v>
      </c>
      <c r="C41" s="590"/>
      <c r="D41" s="590"/>
      <c r="E41" s="590"/>
      <c r="F41" s="590"/>
      <c r="G41" s="590"/>
      <c r="H41" s="590"/>
      <c r="I41" s="590"/>
      <c r="J41" s="590"/>
      <c r="K41" s="590"/>
      <c r="L41" s="590"/>
      <c r="M41" s="590"/>
      <c r="N41" s="590"/>
    </row>
    <row r="42" spans="2:17">
      <c r="D42" s="91"/>
      <c r="E42" s="91"/>
      <c r="F42" s="91"/>
    </row>
    <row r="43" spans="2:17">
      <c r="D43" s="91" t="s">
        <v>188</v>
      </c>
      <c r="E43" s="91"/>
      <c r="F43" s="91"/>
      <c r="N43" s="95"/>
    </row>
    <row r="44" spans="2:17">
      <c r="D44" s="54" t="s">
        <v>10</v>
      </c>
      <c r="E44" s="54"/>
      <c r="F44" s="54"/>
      <c r="G44" s="54" t="s">
        <v>11</v>
      </c>
      <c r="H44" s="54" t="s">
        <v>12</v>
      </c>
      <c r="I44" s="55" t="s">
        <v>13</v>
      </c>
    </row>
    <row r="45" spans="2:17">
      <c r="D45" s="56">
        <v>2026</v>
      </c>
      <c r="E45" s="56"/>
      <c r="F45" s="56"/>
      <c r="G45" s="56" t="s">
        <v>204</v>
      </c>
      <c r="H45" s="56">
        <v>12</v>
      </c>
      <c r="I45" s="56" t="s">
        <v>15</v>
      </c>
    </row>
    <row r="46" spans="2:17">
      <c r="D46" s="57"/>
      <c r="E46" s="57"/>
      <c r="F46" s="57"/>
      <c r="G46" s="57"/>
    </row>
    <row r="47" spans="2:17" ht="33.75">
      <c r="D47" s="159" t="s">
        <v>16</v>
      </c>
      <c r="E47" s="159"/>
      <c r="F47" s="159"/>
      <c r="G47" s="159" t="s">
        <v>17</v>
      </c>
      <c r="H47" s="159" t="s">
        <v>18</v>
      </c>
      <c r="I47" s="159" t="s">
        <v>19</v>
      </c>
    </row>
    <row r="48" spans="2:17">
      <c r="D48" s="61">
        <v>0.33333333333333298</v>
      </c>
      <c r="E48" s="61"/>
      <c r="F48" s="61"/>
      <c r="G48" s="62">
        <v>10</v>
      </c>
      <c r="H48" s="63">
        <f>D14</f>
        <v>62.5</v>
      </c>
      <c r="I48" s="130">
        <f>(H48*30%)+H48</f>
        <v>81.25</v>
      </c>
    </row>
    <row r="50" spans="3:14">
      <c r="C50" s="131" t="s">
        <v>20</v>
      </c>
      <c r="D50" s="131" t="s">
        <v>12</v>
      </c>
      <c r="E50" s="131"/>
      <c r="F50" s="131"/>
      <c r="G50" s="131" t="s">
        <v>21</v>
      </c>
      <c r="H50" s="131" t="s">
        <v>22</v>
      </c>
      <c r="I50" s="131" t="s">
        <v>23</v>
      </c>
      <c r="J50" s="131" t="s">
        <v>24</v>
      </c>
      <c r="K50" s="131" t="s">
        <v>25</v>
      </c>
      <c r="L50" s="131"/>
      <c r="M50" s="131"/>
      <c r="N50" s="131" t="s">
        <v>26</v>
      </c>
    </row>
    <row r="51" spans="3:14">
      <c r="C51" s="70" t="s">
        <v>353</v>
      </c>
      <c r="D51" s="71">
        <v>12</v>
      </c>
      <c r="E51" s="71"/>
      <c r="F51" s="71"/>
      <c r="G51" s="72">
        <v>0</v>
      </c>
      <c r="H51" s="72">
        <v>0</v>
      </c>
      <c r="I51" s="73">
        <v>0</v>
      </c>
      <c r="J51" s="73">
        <v>0</v>
      </c>
      <c r="K51" s="73">
        <f>IF(AND(G51&lt;&gt;"",H51&lt;&gt;""),((IF(G51&lt;$D$48,MIN($D$48-G51,H51-G51),0)+IF(H51&gt;$D$48+TIME($G$48,($G$48-INT($G$48))*60,0),MIN((H51-$D$48-TIME($G$48,($G$48-INT($G$48))*60,0)),(H51-G51)),0))*24),"")</f>
        <v>0</v>
      </c>
      <c r="L51" s="73"/>
      <c r="M51" s="73"/>
      <c r="N51" s="99">
        <v>0</v>
      </c>
    </row>
    <row r="52" spans="3:14">
      <c r="C52" s="70" t="s">
        <v>445</v>
      </c>
      <c r="D52" s="71">
        <v>23</v>
      </c>
      <c r="E52" s="71"/>
      <c r="F52" s="71"/>
      <c r="G52" s="72">
        <v>0.33333333333333331</v>
      </c>
      <c r="H52" s="72">
        <v>0.75</v>
      </c>
      <c r="I52" s="73">
        <v>1</v>
      </c>
      <c r="J52" s="73">
        <f>IFERROR(IF(AND(G52&lt;&gt;"",H52&lt;&gt;""),IF(G52&gt;$B$14+TIME($C$14,($C$14-INT($C$14))*60,0),0,IF(H52&gt;$B$14+TIME($C$14,($C$14-INT($C$14))*60,0),MIN(TIME($C$14,($C$14-INT($C$14))*60,0),($B$14+TIME($C$14,($C$14-INT($C$14))*60,0)-G52)),MIN(IF((H52-$B$14)&lt;0,0,(H52-$B$14)),(H52-G52))))*24,"")-I52,"")</f>
        <v>9</v>
      </c>
      <c r="K52" s="73">
        <f>IF(AND(G52&lt;&gt;"",H52&lt;&gt;""),((IF(G52&lt;$D$48,MIN($D$48-G52,H52-G52),0)+IF(H52&gt;$D$48+TIME($G$48,($G$48-INT($G$48))*60,0),MIN((H52-$D$48-TIME($G$48,($G$48-INT($G$48))*60,0)),(H52-G52)),0))*24),"")</f>
        <v>0</v>
      </c>
      <c r="L52" s="73"/>
      <c r="M52" s="73"/>
      <c r="N52" s="99">
        <v>0</v>
      </c>
    </row>
    <row r="53" spans="3:14"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318">
        <f>SUM(N51:N52)</f>
        <v>0</v>
      </c>
    </row>
    <row r="54" spans="3:14">
      <c r="N54" s="138"/>
    </row>
    <row r="55" spans="3:14">
      <c r="N55" s="138"/>
    </row>
    <row r="56" spans="3:14">
      <c r="N56" s="138"/>
    </row>
    <row r="57" spans="3:14">
      <c r="D57" s="591">
        <v>46255</v>
      </c>
      <c r="E57" s="591"/>
      <c r="F57" s="591"/>
      <c r="G57" s="88">
        <v>562.5</v>
      </c>
      <c r="H57" s="148" t="s">
        <v>280</v>
      </c>
      <c r="I57" s="254"/>
      <c r="N57" s="138"/>
    </row>
    <row r="58" spans="3:14">
      <c r="E58" s="88"/>
      <c r="F58" s="88"/>
      <c r="G58" s="88">
        <f>G57*H58</f>
        <v>168.75</v>
      </c>
      <c r="H58" s="253">
        <v>0.3</v>
      </c>
      <c r="I58" s="254"/>
      <c r="N58" s="138"/>
    </row>
    <row r="59" spans="3:14">
      <c r="E59" s="91"/>
      <c r="F59" s="91"/>
      <c r="G59" s="91"/>
      <c r="N59" s="138"/>
    </row>
    <row r="60" spans="3:14">
      <c r="E60" s="91"/>
      <c r="F60" s="91"/>
      <c r="G60" s="91"/>
      <c r="H60" s="91">
        <f>G58</f>
        <v>168.75</v>
      </c>
      <c r="N60" s="138"/>
    </row>
    <row r="61" spans="3:14">
      <c r="N61" s="138"/>
    </row>
    <row r="62" spans="3:14">
      <c r="N62" s="138"/>
    </row>
    <row r="63" spans="3:14">
      <c r="N63" s="138"/>
    </row>
    <row r="64" spans="3:14">
      <c r="D64" s="132"/>
      <c r="E64" s="132"/>
      <c r="F64" s="132"/>
      <c r="G64" s="133"/>
      <c r="H64" s="133"/>
      <c r="I64" s="133"/>
    </row>
    <row r="65" spans="3:14">
      <c r="D65" s="132"/>
      <c r="E65" s="132"/>
      <c r="F65" s="132"/>
      <c r="G65" s="133"/>
      <c r="H65" s="133"/>
      <c r="I65" s="133"/>
    </row>
    <row r="66" spans="3:14">
      <c r="D66" s="132" t="s">
        <v>190</v>
      </c>
      <c r="E66" s="132"/>
      <c r="F66" s="132"/>
      <c r="G66" s="133"/>
      <c r="H66" s="133"/>
      <c r="I66" s="133"/>
    </row>
    <row r="67" spans="3:14">
      <c r="D67" s="54" t="s">
        <v>10</v>
      </c>
      <c r="E67" s="54"/>
      <c r="F67" s="54"/>
      <c r="G67" s="54" t="s">
        <v>11</v>
      </c>
      <c r="H67" s="54" t="s">
        <v>12</v>
      </c>
      <c r="I67" s="55" t="s">
        <v>13</v>
      </c>
    </row>
    <row r="68" spans="3:14">
      <c r="D68" s="56">
        <v>2026</v>
      </c>
      <c r="E68" s="56"/>
      <c r="F68" s="56"/>
      <c r="G68" s="56" t="s">
        <v>189</v>
      </c>
      <c r="H68" s="56">
        <v>27</v>
      </c>
      <c r="I68" s="56" t="s">
        <v>15</v>
      </c>
    </row>
    <row r="69" spans="3:14">
      <c r="D69" s="57"/>
      <c r="E69" s="57"/>
      <c r="F69" s="57"/>
      <c r="G69" s="57"/>
    </row>
    <row r="70" spans="3:14" ht="33.75">
      <c r="D70" s="159" t="s">
        <v>16</v>
      </c>
      <c r="E70" s="159"/>
      <c r="F70" s="159"/>
      <c r="G70" s="159" t="s">
        <v>17</v>
      </c>
      <c r="H70" s="159" t="s">
        <v>191</v>
      </c>
      <c r="I70" s="167"/>
      <c r="J70" t="s">
        <v>192</v>
      </c>
    </row>
    <row r="71" spans="3:14">
      <c r="D71" s="61">
        <v>0.33333333333333298</v>
      </c>
      <c r="E71" s="61"/>
      <c r="F71" s="61"/>
      <c r="G71" s="62">
        <v>9</v>
      </c>
      <c r="H71" s="63">
        <v>45.63</v>
      </c>
      <c r="I71" s="130"/>
    </row>
    <row r="73" spans="3:14"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</row>
    <row r="74" spans="3:14">
      <c r="C74" s="131"/>
      <c r="D74" s="131" t="s">
        <v>12</v>
      </c>
      <c r="E74" s="131"/>
      <c r="F74" s="131"/>
      <c r="G74" s="131" t="s">
        <v>21</v>
      </c>
      <c r="H74" s="131" t="s">
        <v>22</v>
      </c>
      <c r="I74" s="131" t="s">
        <v>23</v>
      </c>
      <c r="J74" s="131" t="s">
        <v>24</v>
      </c>
      <c r="K74" s="131" t="s">
        <v>25</v>
      </c>
      <c r="L74" s="131"/>
      <c r="M74" s="131"/>
      <c r="N74" s="131" t="s">
        <v>26</v>
      </c>
    </row>
    <row r="75" spans="3:14">
      <c r="C75" s="70" t="s">
        <v>193</v>
      </c>
      <c r="D75" s="71">
        <v>27</v>
      </c>
      <c r="E75" s="71"/>
      <c r="F75" s="71"/>
      <c r="G75" s="72">
        <v>0</v>
      </c>
      <c r="H75" s="72">
        <v>0</v>
      </c>
      <c r="I75" s="73"/>
      <c r="J75" s="73">
        <f>IFERROR(IF(AND(G75&lt;&gt;"",H75&lt;&gt;""),IF(G75&gt;$B$14+TIME($C$14,($C$14-INT($C$14))*60,0),0,IF(H75&gt;$B$14+TIME($C$14,($C$14-INT($C$14))*60,0),MIN(TIME($C$14,($C$14-INT($C$14))*60,0),($B$14+TIME($C$14,($C$14-INT($C$14))*60,0)-G75)),MIN(IF((H75-$B$14)&lt;0,0,(H75-$B$14)),(H75-G75))))*24,"")-I75,"")</f>
        <v>0</v>
      </c>
      <c r="K75" s="73">
        <f>IF(AND(G75&lt;&gt;"",H75&lt;&gt;""),((IF(G75&lt;$B$14,MIN($B$14-G75,H75-G75),0)+IF(H75&gt;$B$14+TIME($C$14,($C$14-INT($C$14))*60,0),MIN((H75-$B$14-TIME($C$14,($C$14-INT($C$14))*60,0)),(H75-G75)),0))*24),"")</f>
        <v>0</v>
      </c>
      <c r="L75" s="110"/>
      <c r="M75" s="102"/>
      <c r="N75" s="99">
        <f>(H71+(H71*169%))*K75</f>
        <v>0</v>
      </c>
    </row>
    <row r="76" spans="3:14">
      <c r="C76" s="70" t="s">
        <v>193</v>
      </c>
      <c r="D76" s="71">
        <v>3</v>
      </c>
      <c r="E76" s="71"/>
      <c r="F76" s="71"/>
      <c r="G76" s="72">
        <v>0</v>
      </c>
      <c r="H76" s="72">
        <v>0</v>
      </c>
      <c r="I76" s="73"/>
      <c r="J76" s="73">
        <f>IFERROR(IF(AND(G76&lt;&gt;"",H76&lt;&gt;""),IF(G76&gt;$B$14+TIME($C$14,($C$14-INT($C$14))*60,0),0,IF(H76&gt;$B$14+TIME($C$14,($C$14-INT($C$14))*60,0),MIN(TIME($C$14,($C$14-INT($C$14))*60,0),($B$14+TIME($C$14,($C$14-INT($C$14))*60,0)-G76)),MIN(IF((H76-$B$14)&lt;0,0,(H76-$B$14)),(H76-G76))))*24,"")-I76,"")</f>
        <v>0</v>
      </c>
      <c r="K76" s="73">
        <f>IF(AND(G76&lt;&gt;"",H76&lt;&gt;""),((IF(G76&lt;$D$48,MIN($D$48-G76,H76-G76),0)+IF(H76&gt;$D$48+TIME($G$48,($G$48-INT($G$48))*60,0),MIN((H76-$D$48-TIME($G$48,($G$48-INT($G$48))*60,0)),(H76-G76)),0))*24),"")</f>
        <v>0</v>
      </c>
      <c r="L76" s="73"/>
      <c r="M76" s="73"/>
      <c r="N76" s="99">
        <f>(H71+(H71*169%))*K76</f>
        <v>0</v>
      </c>
    </row>
    <row r="77" spans="3:14">
      <c r="C77" s="70"/>
      <c r="D77" s="71"/>
      <c r="E77" s="71"/>
      <c r="F77" s="71"/>
      <c r="G77" s="72"/>
      <c r="H77" s="72"/>
      <c r="I77" s="73"/>
      <c r="J77" s="73"/>
      <c r="K77" s="73"/>
      <c r="L77" s="73"/>
      <c r="M77" s="73"/>
      <c r="N77" s="99"/>
    </row>
    <row r="78" spans="3:14"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137">
        <f>SUM(N75:N76)</f>
        <v>0</v>
      </c>
    </row>
    <row r="79" spans="3:14">
      <c r="G79" s="606"/>
      <c r="H79" s="606"/>
    </row>
    <row r="82" spans="3:3">
      <c r="C82" s="91" t="s">
        <v>141</v>
      </c>
    </row>
    <row r="83" spans="3:3">
      <c r="C83" t="s">
        <v>66</v>
      </c>
    </row>
    <row r="84" spans="3:3">
      <c r="C84" s="91"/>
    </row>
  </sheetData>
  <mergeCells count="13">
    <mergeCell ref="G79:H79"/>
    <mergeCell ref="G34:H34"/>
    <mergeCell ref="G36:H36"/>
    <mergeCell ref="G38:H38"/>
    <mergeCell ref="G39:H39"/>
    <mergeCell ref="B41:N41"/>
    <mergeCell ref="D57:F57"/>
    <mergeCell ref="G32:H32"/>
    <mergeCell ref="A6:N6"/>
    <mergeCell ref="C7:D7"/>
    <mergeCell ref="M7:O7"/>
    <mergeCell ref="C8:D8"/>
    <mergeCell ref="M8:O8"/>
  </mergeCells>
  <conditionalFormatting sqref="C17:L31">
    <cfRule type="expression" dxfId="236" priority="2">
      <formula>ISNUMBER(SEARCH(TEXT($C17,"ddd"),$G$11))</formula>
    </cfRule>
  </conditionalFormatting>
  <conditionalFormatting sqref="C51:N52">
    <cfRule type="expression" dxfId="235" priority="1">
      <formula>ISNUMBER(SEARCH(TEXT($C51,"ddd"),$G$11))</formula>
    </cfRule>
  </conditionalFormatting>
  <conditionalFormatting sqref="N17:N26">
    <cfRule type="expression" dxfId="234" priority="4">
      <formula>ISNUMBER(SEARCH(TEXT($C17,"ddd"),$G$11))</formula>
    </cfRule>
  </conditionalFormatting>
  <conditionalFormatting sqref="N27">
    <cfRule type="expression" dxfId="233" priority="3">
      <formula>ISNUMBER(SEARCH(TEXT($B27,"ddd"),$F$10))</formula>
    </cfRule>
  </conditionalFormatting>
  <conditionalFormatting sqref="N28:N31 I75:L75 G75:H76 C75:F77 N75:N77 I76 J76:M77 G77:I77">
    <cfRule type="expression" dxfId="232" priority="5">
      <formula>ISNUMBER(SEARCH(TEXT($C28,"ddd"),$G$11))</formula>
    </cfRule>
  </conditionalFormatting>
  <dataValidations count="5">
    <dataValidation type="list" allowBlank="1" showInputMessage="1" showErrorMessage="1" sqref="I68 G11 D68:G68" xr:uid="{2484F0A1-B873-4C1E-98EE-479209BCA900}"/>
    <dataValidation type="custom" allowBlank="1" showInputMessage="1" showErrorMessage="1" sqref="H75:H77 H51:H52 H17:H31" xr:uid="{FB3B8C66-7018-44A8-B567-78EB1B81D190}">
      <formula1>AND($H17&lt;=1,ISNUMBER($H17),($H17&gt;=$G17))</formula1>
    </dataValidation>
    <dataValidation type="custom" allowBlank="1" showInputMessage="1" showErrorMessage="1" sqref="G75:G77 G51:G52 E17:G31" xr:uid="{5D17F54C-3606-4FAE-827D-B567A6499360}">
      <formula1>AND($G17&lt;=1,ISNUMBER($G17))</formula1>
    </dataValidation>
    <dataValidation type="list" allowBlank="1" showInputMessage="1" showErrorMessage="1" sqref="H68 E11:F11" xr:uid="{6940196B-AEF1-48FD-AD9D-859E7857F3BA}">
      <formula1>AZMAN!DateCalc</formula1>
    </dataValidation>
    <dataValidation type="list" allowBlank="1" showInputMessage="1" showErrorMessage="1" sqref="D11 H45" xr:uid="{162772C0-FECB-4A0F-812D-712A61C2CEDA}">
      <formula1>DateCalc</formula1>
    </dataValidation>
  </dataValidations>
  <pageMargins left="1.07083333333333" right="0.25" top="0.359722222222222" bottom="0.39791666666666697" header="0.29861111111111099" footer="0.29861111111111099"/>
  <pageSetup paperSize="9" scale="91" orientation="landscape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54337" r:id="rId4" name="Check Box 1">
              <controlPr defaultSize="0" print="0" autoPict="0">
                <anchor moveWithCells="1">
                  <from>
                    <xdr:col>7</xdr:col>
                    <xdr:colOff>180975</xdr:colOff>
                    <xdr:row>9</xdr:row>
                    <xdr:rowOff>28575</xdr:rowOff>
                  </from>
                  <to>
                    <xdr:col>8</xdr:col>
                    <xdr:colOff>571500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02165A3-316E-4B7F-960D-739A583C7A54}">
          <x14:formula1>
            <xm:f>Data!$B$2:$B$13</xm:f>
          </x14:formula1>
          <xm:sqref>C11 G45</xm:sqref>
        </x14:dataValidation>
        <x14:dataValidation type="list" allowBlank="1" showInputMessage="1" showErrorMessage="1" xr:uid="{C69B5DB3-FC10-40C2-AFBE-F28A597451C3}">
          <x14:formula1>
            <xm:f>Data!$A$2:$A$15</xm:f>
          </x14:formula1>
          <xm:sqref>B11 D45:F45</xm:sqref>
        </x14:dataValidation>
        <x14:dataValidation type="list" allowBlank="1" showInputMessage="1" showErrorMessage="1" xr:uid="{3DC4ED9E-B0FB-45F2-B971-A59DD7981893}">
          <x14:formula1>
            <xm:f>Data!$D$2:$D$16</xm:f>
          </x14:formula1>
          <xm:sqref>I45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5:AH84"/>
  <sheetViews>
    <sheetView showGridLines="0" showWhiteSpace="0" view="pageLayout" topLeftCell="A19" zoomScale="150" zoomScaleNormal="100" zoomScalePageLayoutView="150" workbookViewId="0">
      <selection activeCell="D14" sqref="D14"/>
    </sheetView>
  </sheetViews>
  <sheetFormatPr defaultColWidth="9" defaultRowHeight="12.75"/>
  <cols>
    <col min="1" max="1" width="1.625" customWidth="1"/>
    <col min="2" max="2" width="5.375" customWidth="1"/>
    <col min="3" max="3" width="7.125" customWidth="1"/>
    <col min="4" max="6" width="7.625" customWidth="1"/>
    <col min="7" max="7" width="10.125" customWidth="1"/>
    <col min="8" max="8" width="9.625" customWidth="1"/>
    <col min="9" max="9" width="8.125" customWidth="1"/>
    <col min="10" max="10" width="10.125" customWidth="1"/>
    <col min="11" max="11" width="7.875" customWidth="1"/>
    <col min="12" max="12" width="10.125" customWidth="1"/>
    <col min="13" max="13" width="10.375" customWidth="1"/>
    <col min="14" max="14" width="10.875" customWidth="1"/>
    <col min="15" max="15" width="16.875" customWidth="1"/>
    <col min="18" max="18" width="11.125" customWidth="1"/>
  </cols>
  <sheetData>
    <row r="5" spans="1:15" ht="25.5" customHeight="1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15" s="47" customFormat="1" ht="25.5" customHeight="1">
      <c r="A6" s="603"/>
      <c r="B6" s="603"/>
      <c r="C6" s="603"/>
      <c r="D6" s="603"/>
      <c r="E6" s="603"/>
      <c r="F6" s="603"/>
      <c r="G6" s="603"/>
      <c r="H6" s="603"/>
      <c r="I6" s="603"/>
      <c r="J6" s="603"/>
      <c r="K6" s="603"/>
      <c r="L6" s="603"/>
      <c r="M6" s="603"/>
      <c r="N6" s="603"/>
    </row>
    <row r="7" spans="1:15" ht="18.75" customHeight="1">
      <c r="C7" s="527" t="s">
        <v>3</v>
      </c>
      <c r="D7" s="527"/>
      <c r="E7" s="49"/>
      <c r="F7" s="49"/>
      <c r="G7" s="50" t="s">
        <v>378</v>
      </c>
      <c r="H7" s="51"/>
      <c r="K7" s="49" t="s">
        <v>174</v>
      </c>
      <c r="M7" s="599" t="str">
        <f>PAALAN!L7</f>
        <v>September  11-25, 2026</v>
      </c>
      <c r="N7" s="599"/>
      <c r="O7" s="599"/>
    </row>
    <row r="8" spans="1:15" ht="18.75" customHeight="1">
      <c r="C8" s="527" t="s">
        <v>175</v>
      </c>
      <c r="D8" s="527"/>
      <c r="E8" s="49"/>
      <c r="F8" s="49"/>
      <c r="G8" s="50" t="s">
        <v>75</v>
      </c>
      <c r="H8" s="51"/>
      <c r="K8" s="49" t="s">
        <v>176</v>
      </c>
      <c r="L8" s="92"/>
      <c r="M8" s="600" t="str">
        <f>PAALAN!L8</f>
        <v>9/31/2026</v>
      </c>
      <c r="N8" s="600"/>
      <c r="O8" s="600"/>
    </row>
    <row r="9" spans="1:15">
      <c r="C9" s="52"/>
      <c r="D9" s="53"/>
      <c r="E9" s="53"/>
      <c r="F9" s="53"/>
      <c r="G9" s="53"/>
    </row>
    <row r="10" spans="1:15">
      <c r="B10" s="54" t="s">
        <v>10</v>
      </c>
      <c r="C10" s="54" t="s">
        <v>11</v>
      </c>
      <c r="D10" s="54" t="s">
        <v>12</v>
      </c>
      <c r="E10" s="54"/>
      <c r="F10" s="54"/>
      <c r="G10" s="55" t="s">
        <v>13</v>
      </c>
    </row>
    <row r="11" spans="1:15">
      <c r="B11" s="56">
        <v>2026</v>
      </c>
      <c r="C11" s="56" t="s">
        <v>177</v>
      </c>
      <c r="D11" s="56">
        <v>11</v>
      </c>
      <c r="E11" s="56"/>
      <c r="F11" s="56"/>
      <c r="G11" s="56" t="s">
        <v>178</v>
      </c>
    </row>
    <row r="12" spans="1:15">
      <c r="B12" s="57"/>
      <c r="C12" s="57"/>
      <c r="H12" s="57"/>
      <c r="K12" s="57"/>
      <c r="L12" s="57"/>
      <c r="M12" s="57"/>
    </row>
    <row r="13" spans="1:15" ht="32.1" customHeight="1">
      <c r="B13" s="159" t="s">
        <v>16</v>
      </c>
      <c r="C13" s="159" t="s">
        <v>17</v>
      </c>
      <c r="D13" s="159" t="s">
        <v>18</v>
      </c>
      <c r="E13" s="160"/>
      <c r="F13" s="160"/>
      <c r="G13" s="160" t="s">
        <v>19</v>
      </c>
      <c r="H13" s="161" t="s">
        <v>179</v>
      </c>
      <c r="L13" s="93"/>
      <c r="M13" s="93"/>
      <c r="N13" s="94"/>
    </row>
    <row r="14" spans="1:15">
      <c r="B14" s="61">
        <v>0.33333333333333331</v>
      </c>
      <c r="C14" s="62">
        <v>10</v>
      </c>
      <c r="D14" s="63">
        <f>(13000/26)/8</f>
        <v>62.5</v>
      </c>
      <c r="E14" s="142"/>
      <c r="F14" s="142"/>
      <c r="G14" s="64">
        <f>(D14*25%)+D14</f>
        <v>78.125</v>
      </c>
      <c r="H14" s="65">
        <v>105</v>
      </c>
      <c r="I14" s="95"/>
      <c r="L14" s="57"/>
      <c r="M14" s="57"/>
      <c r="N14" s="95"/>
    </row>
    <row r="15" spans="1:15">
      <c r="N15" s="96"/>
    </row>
    <row r="16" spans="1:15" ht="23.25">
      <c r="B16" s="66"/>
      <c r="C16" s="67" t="s">
        <v>20</v>
      </c>
      <c r="D16" s="67" t="s">
        <v>12</v>
      </c>
      <c r="E16" s="67"/>
      <c r="F16" s="67"/>
      <c r="G16" s="67" t="s">
        <v>21</v>
      </c>
      <c r="H16" s="67" t="s">
        <v>22</v>
      </c>
      <c r="I16" s="68" t="s">
        <v>23</v>
      </c>
      <c r="J16" s="68" t="s">
        <v>24</v>
      </c>
      <c r="K16" s="68" t="s">
        <v>25</v>
      </c>
      <c r="L16" s="67" t="s">
        <v>180</v>
      </c>
      <c r="M16" s="134" t="s">
        <v>181</v>
      </c>
      <c r="N16" s="67" t="s">
        <v>26</v>
      </c>
    </row>
    <row r="17" spans="2:34">
      <c r="B17" s="432">
        <v>1</v>
      </c>
      <c r="C17" s="429">
        <f>DATE($B$11,MATCH($C$11,Data!$B$2:$B$13,0),ADRIANO!$D$11)</f>
        <v>46276</v>
      </c>
      <c r="D17" s="430">
        <f>DATE($B$11,MATCH($C$11,Data!$B$2:$B$13,0),ADRIANO!$D$11)</f>
        <v>46276</v>
      </c>
      <c r="E17" s="424">
        <v>0.33333333333333331</v>
      </c>
      <c r="F17" s="424">
        <v>0</v>
      </c>
      <c r="G17" s="424">
        <f t="shared" ref="G17:G29" si="0">E17-F17</f>
        <v>0.33333333333333331</v>
      </c>
      <c r="H17" s="424">
        <v>0.75</v>
      </c>
      <c r="I17" s="425">
        <v>1</v>
      </c>
      <c r="J17" s="425">
        <f t="shared" ref="J17:J31" si="1">IFERROR(IF(AND(G17&lt;&gt;"",H17&lt;&gt;""),IF(G17&gt;$B$14+TIME($C$14,($C$14-INT($C$14))*60,0),0,IF(H17&gt;$B$14+TIME($C$14,($C$14-INT($C$14))*60,0),MIN(TIME($C$14,($C$14-INT($C$14))*60,0),($B$14+TIME($C$14,($C$14-INT($C$14))*60,0)-G17)),MIN(IF((H17-$B$14)&lt;0,0,(H17-$B$14)),(H17-G17))))*24,"")-I17,"")</f>
        <v>9</v>
      </c>
      <c r="K17" s="425">
        <v>0</v>
      </c>
      <c r="L17" s="431">
        <f>E17-B14</f>
        <v>0</v>
      </c>
      <c r="M17" s="423">
        <f>(D14/60)*0</f>
        <v>0</v>
      </c>
      <c r="N17" s="427">
        <f>IFERROR(J17*IF(AND(ISNUMBER(SEARCH(TEXT(C17,"ddd"),$G$11)),Data!$F$2),$G$14,$D$14)+K17*$G$14,"")</f>
        <v>562.5</v>
      </c>
      <c r="O17" s="141">
        <f t="shared" ref="O17:O31" si="2">M17+N17</f>
        <v>562.5</v>
      </c>
      <c r="P17" s="100"/>
      <c r="Q17" s="89"/>
    </row>
    <row r="18" spans="2:34">
      <c r="B18" s="432">
        <v>2</v>
      </c>
      <c r="C18" s="429">
        <f t="shared" ref="C18:D31" si="3">C17+1</f>
        <v>46277</v>
      </c>
      <c r="D18" s="430">
        <f t="shared" si="3"/>
        <v>46277</v>
      </c>
      <c r="E18" s="424">
        <v>0.375</v>
      </c>
      <c r="F18" s="424">
        <v>0</v>
      </c>
      <c r="G18" s="424">
        <f t="shared" si="0"/>
        <v>0.375</v>
      </c>
      <c r="H18" s="424">
        <v>0.5</v>
      </c>
      <c r="I18" s="425">
        <v>0</v>
      </c>
      <c r="J18" s="425">
        <f t="shared" si="1"/>
        <v>3</v>
      </c>
      <c r="K18" s="425">
        <f t="shared" ref="K18:K28" si="4">IF(AND(G18&lt;&gt;"",H18&lt;&gt;""),((IF(G18&lt;$B$14,MIN($B$14-G18,H18-G18),0)+IF(H18&gt;$B$14+TIME($C$14,($C$14-INT($C$14))*60,0),MIN((H18-$B$14-TIME($C$14,($C$14-INT($C$14))*60,0)),(H18-G18)),0))*24),"")</f>
        <v>0</v>
      </c>
      <c r="L18" s="431">
        <f>E18-B14</f>
        <v>4.1666666666666685E-2</v>
      </c>
      <c r="M18" s="423">
        <f>(D14/60)*0</f>
        <v>0</v>
      </c>
      <c r="N18" s="427">
        <f>IFERROR(J18*IF(AND(ISNUMBER(SEARCH(TEXT(C18,"ddd"),$G$11)),Data!$F$2),$G$14,$D$14)+K18*$G$14,"")</f>
        <v>187.5</v>
      </c>
      <c r="O18" s="141">
        <f t="shared" si="2"/>
        <v>187.5</v>
      </c>
      <c r="P18" s="89"/>
      <c r="Q18" s="89"/>
    </row>
    <row r="19" spans="2:34">
      <c r="B19" s="432"/>
      <c r="C19" s="429">
        <f t="shared" si="3"/>
        <v>46278</v>
      </c>
      <c r="D19" s="430">
        <f t="shared" si="3"/>
        <v>46278</v>
      </c>
      <c r="E19" s="424">
        <v>0</v>
      </c>
      <c r="F19" s="424">
        <v>0</v>
      </c>
      <c r="G19" s="424">
        <f t="shared" si="0"/>
        <v>0</v>
      </c>
      <c r="H19" s="424">
        <v>0</v>
      </c>
      <c r="I19" s="425">
        <v>0</v>
      </c>
      <c r="J19" s="425">
        <f t="shared" si="1"/>
        <v>0</v>
      </c>
      <c r="K19" s="425">
        <f t="shared" si="4"/>
        <v>0</v>
      </c>
      <c r="L19" s="431">
        <v>0</v>
      </c>
      <c r="M19" s="98">
        <f>(D14/60)*0</f>
        <v>0</v>
      </c>
      <c r="N19" s="427">
        <f>IFERROR(J19*IF(AND(ISNUMBER(SEARCH(TEXT(C19,"ddd"),$G$11)),Data!$F$2),$G$14,$D$14)+K19*$G$14,"")</f>
        <v>0</v>
      </c>
      <c r="O19" s="141">
        <f t="shared" si="2"/>
        <v>0</v>
      </c>
      <c r="P19" s="100"/>
      <c r="Q19" s="104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</row>
    <row r="20" spans="2:34">
      <c r="B20" s="432">
        <v>3</v>
      </c>
      <c r="C20" s="429">
        <f t="shared" si="3"/>
        <v>46279</v>
      </c>
      <c r="D20" s="430">
        <f t="shared" si="3"/>
        <v>46279</v>
      </c>
      <c r="E20" s="424">
        <v>0.33333333333333331</v>
      </c>
      <c r="F20" s="424">
        <v>0</v>
      </c>
      <c r="G20" s="424">
        <f t="shared" si="0"/>
        <v>0.33333333333333331</v>
      </c>
      <c r="H20" s="424">
        <v>0.75</v>
      </c>
      <c r="I20" s="425">
        <v>1</v>
      </c>
      <c r="J20" s="425">
        <f t="shared" si="1"/>
        <v>9</v>
      </c>
      <c r="K20" s="425">
        <f t="shared" si="4"/>
        <v>0</v>
      </c>
      <c r="L20" s="431">
        <f>G20-B14</f>
        <v>0</v>
      </c>
      <c r="M20" s="423">
        <f>(D14/60)*0</f>
        <v>0</v>
      </c>
      <c r="N20" s="427">
        <f>IFERROR(J20*IF(AND(ISNUMBER(SEARCH(TEXT(C20,"ddd"),$G$11)),Data!$F$2),$G$14,$D$14)+K20*$G$14,"")</f>
        <v>562.5</v>
      </c>
      <c r="O20" s="141">
        <f t="shared" si="2"/>
        <v>562.5</v>
      </c>
      <c r="P20" s="103"/>
      <c r="Q20" s="103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28"/>
    </row>
    <row r="21" spans="2:34">
      <c r="B21" s="432">
        <v>4</v>
      </c>
      <c r="C21" s="429">
        <f t="shared" si="3"/>
        <v>46280</v>
      </c>
      <c r="D21" s="430">
        <f t="shared" si="3"/>
        <v>46280</v>
      </c>
      <c r="E21" s="424">
        <v>0.33333333333333331</v>
      </c>
      <c r="F21" s="424">
        <v>0</v>
      </c>
      <c r="G21" s="424">
        <f t="shared" si="0"/>
        <v>0.33333333333333331</v>
      </c>
      <c r="H21" s="424">
        <v>0.75</v>
      </c>
      <c r="I21" s="425">
        <v>1</v>
      </c>
      <c r="J21" s="425">
        <f t="shared" si="1"/>
        <v>9</v>
      </c>
      <c r="K21" s="425">
        <f t="shared" si="4"/>
        <v>0</v>
      </c>
      <c r="L21" s="431">
        <v>0</v>
      </c>
      <c r="M21" s="423">
        <f>(D14/60)*0</f>
        <v>0</v>
      </c>
      <c r="N21" s="427">
        <f>IFERROR(J21*IF(AND(ISNUMBER(SEARCH(TEXT(C21,"ddd"),$G$11)),Data!$F$2),$G$14,$D$14)+K21*$G$14,"")</f>
        <v>562.5</v>
      </c>
      <c r="O21" s="141">
        <f t="shared" si="2"/>
        <v>562.5</v>
      </c>
      <c r="P21" s="162"/>
      <c r="Q21" s="108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4"/>
    </row>
    <row r="22" spans="2:34">
      <c r="B22" s="432">
        <v>5</v>
      </c>
      <c r="C22" s="429">
        <f t="shared" si="3"/>
        <v>46281</v>
      </c>
      <c r="D22" s="430">
        <f t="shared" si="3"/>
        <v>46281</v>
      </c>
      <c r="E22" s="424">
        <v>0.54166666666666663</v>
      </c>
      <c r="F22" s="424">
        <v>0</v>
      </c>
      <c r="G22" s="424">
        <f t="shared" si="0"/>
        <v>0.54166666666666663</v>
      </c>
      <c r="H22" s="424">
        <v>0.75</v>
      </c>
      <c r="I22" s="425">
        <v>0</v>
      </c>
      <c r="J22" s="425">
        <f t="shared" si="1"/>
        <v>5.0000000000000009</v>
      </c>
      <c r="K22" s="425">
        <f t="shared" si="4"/>
        <v>0</v>
      </c>
      <c r="L22" s="431">
        <f>E22-B14</f>
        <v>0.20833333333333331</v>
      </c>
      <c r="M22" s="423">
        <f>(D14/60)*240</f>
        <v>250.00000000000003</v>
      </c>
      <c r="N22" s="427">
        <f>IFERROR(J22*IF(AND(ISNUMBER(SEARCH(TEXT(C22,"ddd"),$G$11)),Data!$F$2),$G$14,$D$14)+K22*$G$14,"")</f>
        <v>312.50000000000006</v>
      </c>
      <c r="O22" s="141">
        <f t="shared" si="2"/>
        <v>562.50000000000011</v>
      </c>
      <c r="P22" s="163">
        <f>O21-O22</f>
        <v>0</v>
      </c>
      <c r="Q22" s="135"/>
      <c r="R22" s="96">
        <v>0.40486111111111101</v>
      </c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4"/>
    </row>
    <row r="23" spans="2:34">
      <c r="B23" s="432">
        <v>6</v>
      </c>
      <c r="C23" s="429">
        <f t="shared" si="3"/>
        <v>46282</v>
      </c>
      <c r="D23" s="430">
        <f t="shared" si="3"/>
        <v>46282</v>
      </c>
      <c r="E23" s="424">
        <v>0.33333333333333331</v>
      </c>
      <c r="F23" s="424">
        <v>0</v>
      </c>
      <c r="G23" s="424">
        <f t="shared" si="0"/>
        <v>0.33333333333333331</v>
      </c>
      <c r="H23" s="424">
        <v>0.75</v>
      </c>
      <c r="I23" s="425">
        <v>1</v>
      </c>
      <c r="J23" s="425">
        <f t="shared" si="1"/>
        <v>9</v>
      </c>
      <c r="K23" s="425">
        <v>2</v>
      </c>
      <c r="L23" s="431">
        <f>G23-B14</f>
        <v>0</v>
      </c>
      <c r="M23" s="423">
        <f>(D14/60)*0</f>
        <v>0</v>
      </c>
      <c r="N23" s="427">
        <f>IFERROR(J23*IF(AND(ISNUMBER(SEARCH(TEXT(C23,"ddd"),$G$11)),Data!$F$2),$G$14,$D$14)+K23*$G$14,"")</f>
        <v>718.75</v>
      </c>
      <c r="O23" s="141">
        <f t="shared" si="2"/>
        <v>718.75</v>
      </c>
      <c r="P23" s="150"/>
      <c r="Q23" s="89"/>
      <c r="R23" s="96">
        <v>1.0416666666666701E-2</v>
      </c>
    </row>
    <row r="24" spans="2:34">
      <c r="B24" s="432">
        <v>7</v>
      </c>
      <c r="C24" s="429">
        <f t="shared" si="3"/>
        <v>46283</v>
      </c>
      <c r="D24" s="430">
        <f t="shared" si="3"/>
        <v>46283</v>
      </c>
      <c r="E24" s="424">
        <v>0.33333333333333331</v>
      </c>
      <c r="F24" s="424">
        <v>0</v>
      </c>
      <c r="G24" s="424">
        <f t="shared" si="0"/>
        <v>0.33333333333333331</v>
      </c>
      <c r="H24" s="424">
        <v>0.75</v>
      </c>
      <c r="I24" s="425">
        <v>1</v>
      </c>
      <c r="J24" s="425">
        <f t="shared" si="1"/>
        <v>9</v>
      </c>
      <c r="K24" s="425">
        <v>0</v>
      </c>
      <c r="L24" s="431">
        <f>E24-B14</f>
        <v>0</v>
      </c>
      <c r="M24" s="423">
        <f>(D14/60)*0</f>
        <v>0</v>
      </c>
      <c r="N24" s="427">
        <f>IFERROR(J24*IF(AND(ISNUMBER(SEARCH(TEXT(C24,"ddd"),$G$11)),Data!$F$2),$G$14,$D$14)+K24*$G$14,"")</f>
        <v>562.5</v>
      </c>
      <c r="O24" s="141">
        <f t="shared" si="2"/>
        <v>562.5</v>
      </c>
      <c r="P24" s="155"/>
      <c r="Q24" s="89"/>
      <c r="R24" s="129">
        <f>R22-R23</f>
        <v>0.39444444444444432</v>
      </c>
    </row>
    <row r="25" spans="2:34">
      <c r="B25" s="432">
        <v>8</v>
      </c>
      <c r="C25" s="429">
        <f t="shared" si="3"/>
        <v>46284</v>
      </c>
      <c r="D25" s="430">
        <f t="shared" si="3"/>
        <v>46284</v>
      </c>
      <c r="E25" s="424">
        <v>0.375</v>
      </c>
      <c r="F25" s="424">
        <v>0</v>
      </c>
      <c r="G25" s="424">
        <f t="shared" si="0"/>
        <v>0.375</v>
      </c>
      <c r="H25" s="424">
        <v>0.5</v>
      </c>
      <c r="I25" s="425">
        <v>0</v>
      </c>
      <c r="J25" s="425">
        <f t="shared" si="1"/>
        <v>3</v>
      </c>
      <c r="K25" s="425">
        <f t="shared" si="4"/>
        <v>0</v>
      </c>
      <c r="L25" s="431">
        <f>E25-B14</f>
        <v>4.1666666666666685E-2</v>
      </c>
      <c r="M25" s="423">
        <f>(D14/60)*0</f>
        <v>0</v>
      </c>
      <c r="N25" s="427">
        <f>IFERROR(J25*IF(AND(ISNUMBER(SEARCH(TEXT(C25,"ddd"),$G$11)),Data!$F$2),$G$14,$D$14)+K25*$G$14,"")</f>
        <v>187.5</v>
      </c>
      <c r="O25" s="141">
        <f t="shared" si="2"/>
        <v>187.5</v>
      </c>
      <c r="P25" s="89"/>
      <c r="Q25" s="89"/>
    </row>
    <row r="26" spans="2:34">
      <c r="B26" s="432"/>
      <c r="C26" s="429">
        <f t="shared" si="3"/>
        <v>46285</v>
      </c>
      <c r="D26" s="430">
        <f t="shared" si="3"/>
        <v>46285</v>
      </c>
      <c r="E26" s="424">
        <v>0</v>
      </c>
      <c r="F26" s="424">
        <v>0</v>
      </c>
      <c r="G26" s="424">
        <f t="shared" si="0"/>
        <v>0</v>
      </c>
      <c r="H26" s="424">
        <v>0</v>
      </c>
      <c r="I26" s="425">
        <v>0</v>
      </c>
      <c r="J26" s="425">
        <f t="shared" si="1"/>
        <v>0</v>
      </c>
      <c r="K26" s="425">
        <f t="shared" si="4"/>
        <v>0</v>
      </c>
      <c r="L26" s="431">
        <v>0</v>
      </c>
      <c r="M26" s="98">
        <f>(D14/60)*0</f>
        <v>0</v>
      </c>
      <c r="N26" s="427">
        <f>IFERROR(J26*IF(AND(ISNUMBER(SEARCH(TEXT(C26,"ddd"),$G$11)),Data!$F$2),$G$14,$D$14)+K26*$G$14,"")</f>
        <v>0</v>
      </c>
      <c r="O26" s="141">
        <f t="shared" si="2"/>
        <v>0</v>
      </c>
      <c r="P26" s="89"/>
      <c r="Q26" s="89"/>
    </row>
    <row r="27" spans="2:34">
      <c r="B27" s="432">
        <v>9</v>
      </c>
      <c r="C27" s="429">
        <f t="shared" si="3"/>
        <v>46286</v>
      </c>
      <c r="D27" s="430">
        <f t="shared" si="3"/>
        <v>46286</v>
      </c>
      <c r="E27" s="424">
        <v>0.33333333333333331</v>
      </c>
      <c r="F27" s="424">
        <v>0</v>
      </c>
      <c r="G27" s="424">
        <f t="shared" si="0"/>
        <v>0.33333333333333331</v>
      </c>
      <c r="H27" s="424">
        <v>0.75</v>
      </c>
      <c r="I27" s="425">
        <v>1</v>
      </c>
      <c r="J27" s="425">
        <f t="shared" si="1"/>
        <v>9</v>
      </c>
      <c r="K27" s="425">
        <f t="shared" si="4"/>
        <v>0</v>
      </c>
      <c r="L27" s="431">
        <v>0</v>
      </c>
      <c r="M27" s="423">
        <f>(D14/60)*0</f>
        <v>0</v>
      </c>
      <c r="N27" s="427">
        <f>IFERROR(J27*IF(AND(ISNUMBER(SEARCH(TEXT(C27,"ddd"),$G$11)),Data!$F$2),$G$14,$D$14)+K27*$G$14,"")</f>
        <v>562.5</v>
      </c>
      <c r="O27" s="141">
        <f t="shared" si="2"/>
        <v>562.5</v>
      </c>
      <c r="P27" s="127"/>
      <c r="Q27" s="89"/>
    </row>
    <row r="28" spans="2:34">
      <c r="B28" s="432">
        <v>10</v>
      </c>
      <c r="C28" s="429">
        <f t="shared" si="3"/>
        <v>46287</v>
      </c>
      <c r="D28" s="430">
        <f t="shared" si="3"/>
        <v>46287</v>
      </c>
      <c r="E28" s="424">
        <v>0.33333333333333331</v>
      </c>
      <c r="F28" s="424">
        <v>0</v>
      </c>
      <c r="G28" s="424">
        <f t="shared" si="0"/>
        <v>0.33333333333333331</v>
      </c>
      <c r="H28" s="424">
        <v>0.75</v>
      </c>
      <c r="I28" s="425">
        <v>1</v>
      </c>
      <c r="J28" s="425">
        <f t="shared" si="1"/>
        <v>9</v>
      </c>
      <c r="K28" s="425">
        <f t="shared" si="4"/>
        <v>0</v>
      </c>
      <c r="L28" s="431">
        <v>0</v>
      </c>
      <c r="M28" s="423">
        <f>(D14/60)*0</f>
        <v>0</v>
      </c>
      <c r="N28" s="427">
        <f>IFERROR(J28*IF(AND(ISNUMBER(SEARCH(TEXT(C28,"ddd"),$G$11)),Data!$F$2),$G$14,$D$14)+K28*$G$14,"")</f>
        <v>562.5</v>
      </c>
      <c r="O28" s="141">
        <f t="shared" si="2"/>
        <v>562.5</v>
      </c>
      <c r="Q28" s="89"/>
    </row>
    <row r="29" spans="2:34">
      <c r="B29" s="432">
        <v>11</v>
      </c>
      <c r="C29" s="429">
        <f t="shared" si="3"/>
        <v>46288</v>
      </c>
      <c r="D29" s="430">
        <f t="shared" si="3"/>
        <v>46288</v>
      </c>
      <c r="E29" s="424">
        <v>0.33333333333333331</v>
      </c>
      <c r="F29" s="424">
        <v>0</v>
      </c>
      <c r="G29" s="424">
        <f t="shared" si="0"/>
        <v>0.33333333333333331</v>
      </c>
      <c r="H29" s="424">
        <v>0.75</v>
      </c>
      <c r="I29" s="425">
        <v>1</v>
      </c>
      <c r="J29" s="425">
        <f t="shared" si="1"/>
        <v>9</v>
      </c>
      <c r="K29" s="425">
        <v>0</v>
      </c>
      <c r="L29" s="431">
        <v>0</v>
      </c>
      <c r="M29" s="423">
        <f>(D14/60)*0</f>
        <v>0</v>
      </c>
      <c r="N29" s="427">
        <f>IFERROR(J29*IF(AND(ISNUMBER(SEARCH(TEXT(C29,"ddd"),$G$11)),Data!$F$2),$G$14,$D$14)+K29*$G$14,"")</f>
        <v>562.5</v>
      </c>
      <c r="O29" s="141">
        <f t="shared" si="2"/>
        <v>562.5</v>
      </c>
      <c r="P29" s="95">
        <f>O28-O29</f>
        <v>0</v>
      </c>
      <c r="Q29" s="89"/>
    </row>
    <row r="30" spans="2:34">
      <c r="B30" s="432">
        <v>12</v>
      </c>
      <c r="C30" s="429">
        <f t="shared" si="3"/>
        <v>46289</v>
      </c>
      <c r="D30" s="430">
        <f t="shared" si="3"/>
        <v>46289</v>
      </c>
      <c r="E30" s="424">
        <v>0.33333333333333331</v>
      </c>
      <c r="F30" s="424">
        <v>0</v>
      </c>
      <c r="G30" s="424">
        <f>E30-F30</f>
        <v>0.33333333333333331</v>
      </c>
      <c r="H30" s="424">
        <v>0.75</v>
      </c>
      <c r="I30" s="425">
        <v>1</v>
      </c>
      <c r="J30" s="425">
        <f t="shared" si="1"/>
        <v>9</v>
      </c>
      <c r="K30" s="425">
        <v>2</v>
      </c>
      <c r="L30" s="431">
        <f>G30-B14</f>
        <v>0</v>
      </c>
      <c r="M30" s="423">
        <f>(D14/60)*0</f>
        <v>0</v>
      </c>
      <c r="N30" s="427">
        <f>IFERROR(J30*IF(AND(ISNUMBER(SEARCH(TEXT(C30,"ddd"),$G$11)),Data!$F$2),$G$14,$D$14)+K30*$G$14,"")</f>
        <v>718.75</v>
      </c>
      <c r="O30" s="141">
        <f t="shared" si="2"/>
        <v>718.75</v>
      </c>
      <c r="P30" s="127"/>
      <c r="Q30" s="89"/>
    </row>
    <row r="31" spans="2:34">
      <c r="B31" s="432">
        <v>13</v>
      </c>
      <c r="C31" s="429">
        <f t="shared" si="3"/>
        <v>46290</v>
      </c>
      <c r="D31" s="430">
        <f t="shared" si="3"/>
        <v>46290</v>
      </c>
      <c r="E31" s="424">
        <v>0.33333333333333331</v>
      </c>
      <c r="F31" s="424">
        <v>0</v>
      </c>
      <c r="G31" s="424">
        <f>E31-F31</f>
        <v>0.33333333333333331</v>
      </c>
      <c r="H31" s="424">
        <v>0.75</v>
      </c>
      <c r="I31" s="425">
        <v>1</v>
      </c>
      <c r="J31" s="425">
        <f t="shared" si="1"/>
        <v>9</v>
      </c>
      <c r="K31" s="425">
        <v>4</v>
      </c>
      <c r="L31" s="431">
        <f>E31-B14</f>
        <v>0</v>
      </c>
      <c r="M31" s="423">
        <f>(D14/60)*0</f>
        <v>0</v>
      </c>
      <c r="N31" s="427">
        <f>IFERROR(J31*IF(AND(ISNUMBER(SEARCH(TEXT(C31,"ddd"),$G$11)),Data!$F$2),$G$14,$D$14)+K31*$G$14,"")</f>
        <v>875</v>
      </c>
      <c r="O31" s="141">
        <f t="shared" si="2"/>
        <v>875</v>
      </c>
      <c r="P31" s="95">
        <f>O28-O31</f>
        <v>-312.5</v>
      </c>
    </row>
    <row r="32" spans="2:34">
      <c r="B32" s="441"/>
      <c r="C32" s="442"/>
      <c r="D32" s="443"/>
      <c r="E32" s="444"/>
      <c r="F32" s="444"/>
      <c r="G32" s="593" t="s">
        <v>182</v>
      </c>
      <c r="H32" s="594"/>
      <c r="I32" s="445">
        <f>SUM(I17:I31)</f>
        <v>10</v>
      </c>
      <c r="J32" s="445">
        <f>SUM(J17:J31)</f>
        <v>101</v>
      </c>
      <c r="K32" s="445">
        <f>SUM(K17:K31)</f>
        <v>8</v>
      </c>
      <c r="L32" s="446">
        <f>SUM(L17:L31)</f>
        <v>0.29166666666666669</v>
      </c>
      <c r="M32" s="447">
        <f>SUM(M17:M31)</f>
        <v>250.00000000000003</v>
      </c>
      <c r="N32" s="441"/>
      <c r="O32" s="165">
        <f>SUM(O17:O31)</f>
        <v>7187.5</v>
      </c>
      <c r="P32" s="165">
        <f>SUM(P17:P31)</f>
        <v>-312.5</v>
      </c>
      <c r="Q32" s="95">
        <f>O32+P32</f>
        <v>6875</v>
      </c>
    </row>
    <row r="33" spans="2:17">
      <c r="B33" s="66"/>
      <c r="C33" s="76"/>
      <c r="D33" s="77"/>
      <c r="E33" s="144"/>
      <c r="F33" s="144"/>
      <c r="G33" s="81" t="s">
        <v>39</v>
      </c>
      <c r="H33" s="82"/>
      <c r="I33" s="83"/>
      <c r="J33" s="84"/>
      <c r="K33" s="116"/>
      <c r="L33" s="102">
        <f>(D14/60)*186</f>
        <v>193.75</v>
      </c>
      <c r="M33" s="118"/>
      <c r="N33" s="166">
        <f>(D14*H14)</f>
        <v>6562.5</v>
      </c>
      <c r="O33" s="95"/>
      <c r="P33" s="95"/>
      <c r="Q33" s="95"/>
    </row>
    <row r="34" spans="2:17">
      <c r="B34" s="65"/>
      <c r="C34" s="65"/>
      <c r="D34" s="85"/>
      <c r="E34" s="85"/>
      <c r="F34" s="85"/>
      <c r="G34" s="592" t="s">
        <v>183</v>
      </c>
      <c r="H34" s="592"/>
      <c r="I34" s="80"/>
      <c r="J34" s="80">
        <f>H14-J32</f>
        <v>4</v>
      </c>
      <c r="K34" s="65"/>
      <c r="L34" s="120"/>
      <c r="M34" s="65"/>
      <c r="N34" s="121">
        <f>M32</f>
        <v>250.00000000000003</v>
      </c>
      <c r="O34" s="151">
        <f>O32-O33</f>
        <v>7187.5</v>
      </c>
      <c r="P34" s="95"/>
      <c r="Q34" s="95"/>
    </row>
    <row r="35" spans="2:17">
      <c r="B35" s="65"/>
      <c r="C35" s="65"/>
      <c r="D35" s="85"/>
      <c r="E35" s="145"/>
      <c r="F35" s="145"/>
      <c r="G35" s="78" t="s">
        <v>41</v>
      </c>
      <c r="H35" s="79"/>
      <c r="I35" s="66"/>
      <c r="J35" s="66"/>
      <c r="K35" s="80"/>
      <c r="L35" s="80"/>
      <c r="M35" s="80"/>
      <c r="N35" s="121">
        <f>N33-N34</f>
        <v>6312.5</v>
      </c>
      <c r="O35" s="95"/>
      <c r="P35" s="95"/>
      <c r="Q35" s="95"/>
    </row>
    <row r="36" spans="2:17">
      <c r="B36" s="65"/>
      <c r="C36" s="65"/>
      <c r="D36" s="85"/>
      <c r="E36" s="146"/>
      <c r="F36" s="146"/>
      <c r="G36" s="604" t="s">
        <v>184</v>
      </c>
      <c r="H36" s="605"/>
      <c r="I36" s="80"/>
      <c r="J36" s="401"/>
      <c r="K36" s="122"/>
      <c r="L36" s="122"/>
      <c r="M36" s="122"/>
      <c r="N36" s="123">
        <f>G14*K32</f>
        <v>625</v>
      </c>
      <c r="O36" s="95"/>
    </row>
    <row r="37" spans="2:17">
      <c r="B37" s="65"/>
      <c r="C37" s="65"/>
      <c r="D37" s="85"/>
      <c r="E37" s="146"/>
      <c r="F37" s="146"/>
      <c r="G37" s="86" t="s">
        <v>185</v>
      </c>
      <c r="H37" s="87"/>
      <c r="I37" s="80"/>
      <c r="J37" s="66"/>
      <c r="K37" s="122"/>
      <c r="L37" s="122"/>
      <c r="M37" s="122"/>
      <c r="N37" s="123">
        <f>N53</f>
        <v>0</v>
      </c>
      <c r="O37" s="95"/>
    </row>
    <row r="38" spans="2:17">
      <c r="B38" s="65"/>
      <c r="C38" s="65"/>
      <c r="D38" s="85"/>
      <c r="E38" s="145"/>
      <c r="F38" s="145"/>
      <c r="G38" s="597" t="s">
        <v>186</v>
      </c>
      <c r="H38" s="598"/>
      <c r="I38" s="66"/>
      <c r="J38" s="66"/>
      <c r="K38" s="66"/>
      <c r="L38" s="66"/>
      <c r="M38" s="66"/>
      <c r="N38" s="124">
        <f>N35+N36+N37</f>
        <v>6937.5</v>
      </c>
      <c r="O38" s="95"/>
    </row>
    <row r="39" spans="2:17">
      <c r="D39" s="88"/>
      <c r="E39" s="88"/>
      <c r="F39" s="88"/>
      <c r="G39" s="589"/>
      <c r="H39" s="589"/>
      <c r="I39" s="90"/>
      <c r="J39" s="90"/>
      <c r="K39" s="125"/>
      <c r="L39" s="125"/>
      <c r="M39" s="125"/>
      <c r="N39" s="126"/>
      <c r="O39" s="127"/>
    </row>
    <row r="40" spans="2:17">
      <c r="D40" s="91"/>
      <c r="E40" s="91"/>
      <c r="F40" s="91"/>
      <c r="M40" t="s">
        <v>196</v>
      </c>
    </row>
    <row r="41" spans="2:17">
      <c r="B41" s="590" t="s">
        <v>187</v>
      </c>
      <c r="C41" s="590"/>
      <c r="D41" s="590"/>
      <c r="E41" s="590"/>
      <c r="F41" s="590"/>
      <c r="G41" s="590"/>
      <c r="H41" s="590"/>
      <c r="I41" s="590"/>
      <c r="J41" s="590"/>
      <c r="K41" s="590"/>
      <c r="L41" s="590"/>
      <c r="M41" s="590"/>
      <c r="N41" s="590"/>
    </row>
    <row r="42" spans="2:17">
      <c r="D42" s="91"/>
      <c r="E42" s="91"/>
      <c r="F42" s="91"/>
    </row>
    <row r="43" spans="2:17">
      <c r="D43" s="91" t="s">
        <v>188</v>
      </c>
      <c r="E43" s="91"/>
      <c r="F43" s="91"/>
      <c r="N43" s="95"/>
    </row>
    <row r="44" spans="2:17">
      <c r="D44" s="54" t="s">
        <v>10</v>
      </c>
      <c r="E44" s="54"/>
      <c r="F44" s="54"/>
      <c r="G44" s="54" t="s">
        <v>11</v>
      </c>
      <c r="H44" s="54" t="s">
        <v>12</v>
      </c>
      <c r="I44" s="55" t="s">
        <v>13</v>
      </c>
    </row>
    <row r="45" spans="2:17">
      <c r="D45" s="56">
        <v>2026</v>
      </c>
      <c r="E45" s="56"/>
      <c r="F45" s="56"/>
      <c r="G45" s="56" t="s">
        <v>204</v>
      </c>
      <c r="H45" s="56">
        <v>12</v>
      </c>
      <c r="I45" s="56" t="s">
        <v>15</v>
      </c>
    </row>
    <row r="46" spans="2:17">
      <c r="D46" s="57"/>
      <c r="E46" s="57"/>
      <c r="F46" s="57"/>
      <c r="G46" s="57"/>
    </row>
    <row r="47" spans="2:17" ht="33.75">
      <c r="D47" s="159" t="s">
        <v>16</v>
      </c>
      <c r="E47" s="159"/>
      <c r="F47" s="159"/>
      <c r="G47" s="159" t="s">
        <v>17</v>
      </c>
      <c r="H47" s="159" t="s">
        <v>18</v>
      </c>
      <c r="I47" s="159" t="s">
        <v>19</v>
      </c>
    </row>
    <row r="48" spans="2:17">
      <c r="D48" s="61">
        <v>0.33333333333333298</v>
      </c>
      <c r="E48" s="61"/>
      <c r="F48" s="61"/>
      <c r="G48" s="62">
        <v>10</v>
      </c>
      <c r="H48" s="63">
        <f>D14</f>
        <v>62.5</v>
      </c>
      <c r="I48" s="130">
        <f>(H48*30%)+H48</f>
        <v>81.25</v>
      </c>
    </row>
    <row r="50" spans="3:14">
      <c r="C50" s="131" t="s">
        <v>20</v>
      </c>
      <c r="D50" s="131" t="s">
        <v>12</v>
      </c>
      <c r="E50" s="131"/>
      <c r="F50" s="131"/>
      <c r="G50" s="131" t="s">
        <v>21</v>
      </c>
      <c r="H50" s="131" t="s">
        <v>22</v>
      </c>
      <c r="I50" s="131" t="s">
        <v>23</v>
      </c>
      <c r="J50" s="131" t="s">
        <v>24</v>
      </c>
      <c r="K50" s="131" t="s">
        <v>25</v>
      </c>
      <c r="L50" s="131"/>
      <c r="M50" s="131"/>
      <c r="N50" s="131" t="s">
        <v>26</v>
      </c>
    </row>
    <row r="51" spans="3:14">
      <c r="C51" s="70" t="s">
        <v>353</v>
      </c>
      <c r="D51" s="71">
        <v>12</v>
      </c>
      <c r="E51" s="71"/>
      <c r="F51" s="71"/>
      <c r="G51" s="72">
        <v>0</v>
      </c>
      <c r="H51" s="72">
        <v>0</v>
      </c>
      <c r="I51" s="73">
        <v>0</v>
      </c>
      <c r="J51" s="73">
        <v>0</v>
      </c>
      <c r="K51" s="73">
        <f>IF(AND(G51&lt;&gt;"",H51&lt;&gt;""),((IF(G51&lt;$D$48,MIN($D$48-G51,H51-G51),0)+IF(H51&gt;$D$48+TIME($G$48,($G$48-INT($G$48))*60,0),MIN((H51-$D$48-TIME($G$48,($G$48-INT($G$48))*60,0)),(H51-G51)),0))*24),"")</f>
        <v>0</v>
      </c>
      <c r="L51" s="73"/>
      <c r="M51" s="73"/>
      <c r="N51" s="99">
        <v>0</v>
      </c>
    </row>
    <row r="52" spans="3:14">
      <c r="C52" s="70" t="s">
        <v>445</v>
      </c>
      <c r="D52" s="71">
        <v>23</v>
      </c>
      <c r="E52" s="71"/>
      <c r="F52" s="71"/>
      <c r="G52" s="72">
        <v>0.33333333333333331</v>
      </c>
      <c r="H52" s="72">
        <v>0.75</v>
      </c>
      <c r="I52" s="73">
        <v>1</v>
      </c>
      <c r="J52" s="73">
        <f>IFERROR(IF(AND(G52&lt;&gt;"",H52&lt;&gt;""),IF(G52&gt;$B$14+TIME($C$14,($C$14-INT($C$14))*60,0),0,IF(H52&gt;$B$14+TIME($C$14,($C$14-INT($C$14))*60,0),MIN(TIME($C$14,($C$14-INT($C$14))*60,0),($B$14+TIME($C$14,($C$14-INT($C$14))*60,0)-G52)),MIN(IF((H52-$B$14)&lt;0,0,(H52-$B$14)),(H52-G52))))*24,"")-I52,"")</f>
        <v>9</v>
      </c>
      <c r="K52" s="73">
        <f>IF(AND(G52&lt;&gt;"",H52&lt;&gt;""),((IF(G52&lt;$D$48,MIN($D$48-G52,H52-G52),0)+IF(H52&gt;$D$48+TIME($G$48,($G$48-INT($G$48))*60,0),MIN((H52-$D$48-TIME($G$48,($G$48-INT($G$48))*60,0)),(H52-G52)),0))*24),"")</f>
        <v>0</v>
      </c>
      <c r="L52" s="73"/>
      <c r="M52" s="73"/>
      <c r="N52" s="99">
        <v>0</v>
      </c>
    </row>
    <row r="53" spans="3:14"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318">
        <f>SUM(N51:N52)</f>
        <v>0</v>
      </c>
    </row>
    <row r="54" spans="3:14">
      <c r="N54" s="138"/>
    </row>
    <row r="55" spans="3:14">
      <c r="N55" s="138"/>
    </row>
    <row r="56" spans="3:14">
      <c r="N56" s="138"/>
    </row>
    <row r="57" spans="3:14">
      <c r="D57" s="591">
        <v>46255</v>
      </c>
      <c r="E57" s="591"/>
      <c r="F57" s="591"/>
      <c r="G57" s="88">
        <v>562.5</v>
      </c>
      <c r="H57" s="148" t="s">
        <v>280</v>
      </c>
      <c r="I57" s="254"/>
      <c r="N57" s="138"/>
    </row>
    <row r="58" spans="3:14">
      <c r="E58" s="88"/>
      <c r="F58" s="88"/>
      <c r="G58" s="88">
        <f>G57*H58</f>
        <v>168.75</v>
      </c>
      <c r="H58" s="253">
        <v>0.3</v>
      </c>
      <c r="I58" s="254"/>
      <c r="N58" s="138"/>
    </row>
    <row r="59" spans="3:14">
      <c r="E59" s="91"/>
      <c r="F59" s="91"/>
      <c r="G59" s="91"/>
      <c r="N59" s="138"/>
    </row>
    <row r="60" spans="3:14">
      <c r="E60" s="91"/>
      <c r="F60" s="91"/>
      <c r="G60" s="91"/>
      <c r="H60" s="91">
        <f>G58</f>
        <v>168.75</v>
      </c>
      <c r="N60" s="138"/>
    </row>
    <row r="61" spans="3:14">
      <c r="N61" s="138"/>
    </row>
    <row r="62" spans="3:14">
      <c r="N62" s="138"/>
    </row>
    <row r="63" spans="3:14">
      <c r="N63" s="138"/>
    </row>
    <row r="64" spans="3:14">
      <c r="D64" s="132"/>
      <c r="E64" s="132"/>
      <c r="F64" s="132"/>
      <c r="G64" s="133"/>
      <c r="H64" s="133"/>
      <c r="I64" s="133"/>
    </row>
    <row r="65" spans="3:14">
      <c r="D65" s="132"/>
      <c r="E65" s="132"/>
      <c r="F65" s="132"/>
      <c r="G65" s="133"/>
      <c r="H65" s="133"/>
      <c r="I65" s="133"/>
    </row>
    <row r="66" spans="3:14">
      <c r="D66" s="132" t="s">
        <v>190</v>
      </c>
      <c r="E66" s="132"/>
      <c r="F66" s="132"/>
      <c r="G66" s="133"/>
      <c r="H66" s="133"/>
      <c r="I66" s="133"/>
    </row>
    <row r="67" spans="3:14">
      <c r="D67" s="54" t="s">
        <v>10</v>
      </c>
      <c r="E67" s="54"/>
      <c r="F67" s="54"/>
      <c r="G67" s="54" t="s">
        <v>11</v>
      </c>
      <c r="H67" s="54" t="s">
        <v>12</v>
      </c>
      <c r="I67" s="55" t="s">
        <v>13</v>
      </c>
    </row>
    <row r="68" spans="3:14">
      <c r="D68" s="56">
        <v>2026</v>
      </c>
      <c r="E68" s="56"/>
      <c r="F68" s="56"/>
      <c r="G68" s="56" t="s">
        <v>189</v>
      </c>
      <c r="H68" s="56">
        <v>27</v>
      </c>
      <c r="I68" s="56" t="s">
        <v>15</v>
      </c>
    </row>
    <row r="69" spans="3:14">
      <c r="D69" s="57"/>
      <c r="E69" s="57"/>
      <c r="F69" s="57"/>
      <c r="G69" s="57"/>
    </row>
    <row r="70" spans="3:14" ht="33.75">
      <c r="D70" s="159" t="s">
        <v>16</v>
      </c>
      <c r="E70" s="159"/>
      <c r="F70" s="159"/>
      <c r="G70" s="159" t="s">
        <v>17</v>
      </c>
      <c r="H70" s="159" t="s">
        <v>191</v>
      </c>
      <c r="I70" s="167"/>
      <c r="J70" t="s">
        <v>192</v>
      </c>
    </row>
    <row r="71" spans="3:14">
      <c r="D71" s="61">
        <v>0.33333333333333298</v>
      </c>
      <c r="E71" s="61"/>
      <c r="F71" s="61"/>
      <c r="G71" s="62">
        <v>9</v>
      </c>
      <c r="H71" s="63">
        <v>45.63</v>
      </c>
      <c r="I71" s="130"/>
    </row>
    <row r="73" spans="3:14"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</row>
    <row r="74" spans="3:14">
      <c r="C74" s="131"/>
      <c r="D74" s="131" t="s">
        <v>12</v>
      </c>
      <c r="E74" s="131"/>
      <c r="F74" s="131"/>
      <c r="G74" s="131" t="s">
        <v>21</v>
      </c>
      <c r="H74" s="131" t="s">
        <v>22</v>
      </c>
      <c r="I74" s="131" t="s">
        <v>23</v>
      </c>
      <c r="J74" s="131" t="s">
        <v>24</v>
      </c>
      <c r="K74" s="131" t="s">
        <v>25</v>
      </c>
      <c r="L74" s="131"/>
      <c r="M74" s="131"/>
      <c r="N74" s="131" t="s">
        <v>26</v>
      </c>
    </row>
    <row r="75" spans="3:14">
      <c r="C75" s="70" t="s">
        <v>193</v>
      </c>
      <c r="D75" s="71">
        <v>27</v>
      </c>
      <c r="E75" s="71"/>
      <c r="F75" s="71"/>
      <c r="G75" s="72">
        <v>0</v>
      </c>
      <c r="H75" s="72">
        <v>0</v>
      </c>
      <c r="I75" s="73"/>
      <c r="J75" s="73">
        <f>IFERROR(IF(AND(G75&lt;&gt;"",H75&lt;&gt;""),IF(G75&gt;$B$14+TIME($C$14,($C$14-INT($C$14))*60,0),0,IF(H75&gt;$B$14+TIME($C$14,($C$14-INT($C$14))*60,0),MIN(TIME($C$14,($C$14-INT($C$14))*60,0),($B$14+TIME($C$14,($C$14-INT($C$14))*60,0)-G75)),MIN(IF((H75-$B$14)&lt;0,0,(H75-$B$14)),(H75-G75))))*24,"")-I75,"")</f>
        <v>0</v>
      </c>
      <c r="K75" s="73">
        <f>IF(AND(G75&lt;&gt;"",H75&lt;&gt;""),((IF(G75&lt;$B$14,MIN($B$14-G75,H75-G75),0)+IF(H75&gt;$B$14+TIME($C$14,($C$14-INT($C$14))*60,0),MIN((H75-$B$14-TIME($C$14,($C$14-INT($C$14))*60,0)),(H75-G75)),0))*24),"")</f>
        <v>0</v>
      </c>
      <c r="L75" s="110"/>
      <c r="M75" s="102"/>
      <c r="N75" s="99">
        <f>(H71+(H71*169%))*K75</f>
        <v>0</v>
      </c>
    </row>
    <row r="76" spans="3:14">
      <c r="C76" s="70" t="s">
        <v>193</v>
      </c>
      <c r="D76" s="71">
        <v>3</v>
      </c>
      <c r="E76" s="71"/>
      <c r="F76" s="71"/>
      <c r="G76" s="72">
        <v>0</v>
      </c>
      <c r="H76" s="72">
        <v>0</v>
      </c>
      <c r="I76" s="73"/>
      <c r="J76" s="73">
        <f>IFERROR(IF(AND(G76&lt;&gt;"",H76&lt;&gt;""),IF(G76&gt;$B$14+TIME($C$14,($C$14-INT($C$14))*60,0),0,IF(H76&gt;$B$14+TIME($C$14,($C$14-INT($C$14))*60,0),MIN(TIME($C$14,($C$14-INT($C$14))*60,0),($B$14+TIME($C$14,($C$14-INT($C$14))*60,0)-G76)),MIN(IF((H76-$B$14)&lt;0,0,(H76-$B$14)),(H76-G76))))*24,"")-I76,"")</f>
        <v>0</v>
      </c>
      <c r="K76" s="73">
        <f>IF(AND(G76&lt;&gt;"",H76&lt;&gt;""),((IF(G76&lt;$D$48,MIN($D$48-G76,H76-G76),0)+IF(H76&gt;$D$48+TIME($G$48,($G$48-INT($G$48))*60,0),MIN((H76-$D$48-TIME($G$48,($G$48-INT($G$48))*60,0)),(H76-G76)),0))*24),"")</f>
        <v>0</v>
      </c>
      <c r="L76" s="73"/>
      <c r="M76" s="73"/>
      <c r="N76" s="99">
        <f>(H71+(H71*169%))*K76</f>
        <v>0</v>
      </c>
    </row>
    <row r="77" spans="3:14">
      <c r="C77" s="70"/>
      <c r="D77" s="71"/>
      <c r="E77" s="71"/>
      <c r="F77" s="71"/>
      <c r="G77" s="72"/>
      <c r="H77" s="72"/>
      <c r="I77" s="73"/>
      <c r="J77" s="73"/>
      <c r="K77" s="73"/>
      <c r="L77" s="73"/>
      <c r="M77" s="73"/>
      <c r="N77" s="99"/>
    </row>
    <row r="78" spans="3:14"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137">
        <f>SUM(N75:N76)</f>
        <v>0</v>
      </c>
    </row>
    <row r="79" spans="3:14">
      <c r="G79" s="606"/>
      <c r="H79" s="606"/>
    </row>
    <row r="82" spans="3:3">
      <c r="C82" s="91" t="s">
        <v>141</v>
      </c>
    </row>
    <row r="83" spans="3:3">
      <c r="C83" t="s">
        <v>66</v>
      </c>
    </row>
    <row r="84" spans="3:3">
      <c r="C84" s="91"/>
    </row>
  </sheetData>
  <mergeCells count="13">
    <mergeCell ref="G79:H79"/>
    <mergeCell ref="A6:N6"/>
    <mergeCell ref="C7:D7"/>
    <mergeCell ref="M7:O7"/>
    <mergeCell ref="C8:D8"/>
    <mergeCell ref="M8:O8"/>
    <mergeCell ref="G32:H32"/>
    <mergeCell ref="G34:H34"/>
    <mergeCell ref="G36:H36"/>
    <mergeCell ref="G38:H38"/>
    <mergeCell ref="G39:H39"/>
    <mergeCell ref="B41:N41"/>
    <mergeCell ref="D57:F57"/>
  </mergeCells>
  <conditionalFormatting sqref="C17:L31">
    <cfRule type="expression" dxfId="231" priority="2">
      <formula>ISNUMBER(SEARCH(TEXT($C17,"ddd"),$G$11))</formula>
    </cfRule>
  </conditionalFormatting>
  <conditionalFormatting sqref="C51:N52">
    <cfRule type="expression" dxfId="230" priority="1">
      <formula>ISNUMBER(SEARCH(TEXT($C51,"ddd"),$G$11))</formula>
    </cfRule>
  </conditionalFormatting>
  <conditionalFormatting sqref="N17:N26">
    <cfRule type="expression" dxfId="229" priority="132">
      <formula>ISNUMBER(SEARCH(TEXT($C17,"ddd"),$G$11))</formula>
    </cfRule>
  </conditionalFormatting>
  <conditionalFormatting sqref="N27">
    <cfRule type="expression" dxfId="228" priority="130">
      <formula>ISNUMBER(SEARCH(TEXT($B27,"ddd"),$F$10))</formula>
    </cfRule>
  </conditionalFormatting>
  <conditionalFormatting sqref="N28:N31 I75:L75 G75:H76 C75:F77 N75:N77 I76 J76:M77 G77:I77">
    <cfRule type="expression" dxfId="227" priority="135">
      <formula>ISNUMBER(SEARCH(TEXT($C28,"ddd"),$G$11))</formula>
    </cfRule>
  </conditionalFormatting>
  <dataValidations count="5">
    <dataValidation type="list" allowBlank="1" showInputMessage="1" showErrorMessage="1" sqref="D11 H45" xr:uid="{00000000-0002-0000-1400-000000000000}">
      <formula1>DateCalc</formula1>
    </dataValidation>
    <dataValidation type="list" allowBlank="1" showInputMessage="1" showErrorMessage="1" sqref="H68 E11:F11" xr:uid="{00000000-0002-0000-1400-000001000000}">
      <formula1>ADRIANO!DateCalc</formula1>
    </dataValidation>
    <dataValidation type="custom" allowBlank="1" showInputMessage="1" showErrorMessage="1" sqref="G75:G77 G51:G52 E17:G31" xr:uid="{00000000-0002-0000-1400-000002000000}">
      <formula1>AND($G17&lt;=1,ISNUMBER($G17))</formula1>
    </dataValidation>
    <dataValidation type="custom" allowBlank="1" showInputMessage="1" showErrorMessage="1" sqref="H75:H77 H51:H52 H17:H31" xr:uid="{00000000-0002-0000-1400-000003000000}">
      <formula1>AND($H17&lt;=1,ISNUMBER($H17),($H17&gt;=$G17))</formula1>
    </dataValidation>
    <dataValidation type="list" allowBlank="1" showInputMessage="1" showErrorMessage="1" sqref="I68 G11 D68:G68" xr:uid="{00000000-0002-0000-1400-000007000000}"/>
  </dataValidations>
  <pageMargins left="1.07083333333333" right="0.25" top="0.359722222222222" bottom="0.39791666666666697" header="0.29861111111111099" footer="0.29861111111111099"/>
  <pageSetup paperSize="9" scale="91" orientation="landscape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48865" r:id="rId4" name="Check Box 1">
              <controlPr defaultSize="0" print="0" autoPict="0">
                <anchor moveWithCells="1">
                  <from>
                    <xdr:col>7</xdr:col>
                    <xdr:colOff>180975</xdr:colOff>
                    <xdr:row>9</xdr:row>
                    <xdr:rowOff>28575</xdr:rowOff>
                  </from>
                  <to>
                    <xdr:col>8</xdr:col>
                    <xdr:colOff>571500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400-000004000000}">
          <x14:formula1>
            <xm:f>Data!$D$2:$D$16</xm:f>
          </x14:formula1>
          <xm:sqref>I45</xm:sqref>
        </x14:dataValidation>
        <x14:dataValidation type="list" allowBlank="1" showInputMessage="1" showErrorMessage="1" xr:uid="{00000000-0002-0000-1400-000005000000}">
          <x14:formula1>
            <xm:f>Data!$A$2:$A$15</xm:f>
          </x14:formula1>
          <xm:sqref>B11 D45:F45</xm:sqref>
        </x14:dataValidation>
        <x14:dataValidation type="list" allowBlank="1" showInputMessage="1" showErrorMessage="1" xr:uid="{00000000-0002-0000-1400-000006000000}">
          <x14:formula1>
            <xm:f>Data!$B$2:$B$13</xm:f>
          </x14:formula1>
          <xm:sqref>C11 G45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5:AH71"/>
  <sheetViews>
    <sheetView showGridLines="0" showWhiteSpace="0" view="pageLayout" topLeftCell="A23" zoomScale="150" zoomScaleNormal="100" zoomScalePageLayoutView="150" workbookViewId="0">
      <selection activeCell="M43" sqref="M43"/>
    </sheetView>
  </sheetViews>
  <sheetFormatPr defaultColWidth="9" defaultRowHeight="12.75"/>
  <cols>
    <col min="1" max="1" width="1.625" customWidth="1"/>
    <col min="2" max="2" width="5.375" customWidth="1"/>
    <col min="3" max="3" width="7.125" customWidth="1"/>
    <col min="4" max="6" width="7.625" customWidth="1"/>
    <col min="7" max="7" width="10.125" customWidth="1"/>
    <col min="8" max="8" width="9.625" customWidth="1"/>
    <col min="9" max="9" width="8.125" customWidth="1"/>
    <col min="10" max="10" width="10.125" customWidth="1"/>
    <col min="11" max="11" width="7.875" customWidth="1"/>
    <col min="12" max="12" width="10.125" customWidth="1"/>
    <col min="13" max="13" width="10.375" customWidth="1"/>
    <col min="14" max="14" width="12.5" customWidth="1"/>
    <col min="15" max="15" width="16.875" customWidth="1"/>
    <col min="18" max="18" width="11.125" customWidth="1"/>
  </cols>
  <sheetData>
    <row r="5" spans="1:21" ht="25.5" customHeight="1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21" s="47" customFormat="1" ht="25.5" customHeight="1">
      <c r="A6" s="603"/>
      <c r="B6" s="603"/>
      <c r="C6" s="603"/>
      <c r="D6" s="603"/>
      <c r="E6" s="603"/>
      <c r="F6" s="603"/>
      <c r="G6" s="603"/>
      <c r="H6" s="603"/>
      <c r="I6" s="603"/>
      <c r="J6" s="603"/>
      <c r="K6" s="603"/>
      <c r="L6" s="603"/>
      <c r="M6" s="603"/>
      <c r="N6" s="603"/>
    </row>
    <row r="7" spans="1:21" ht="18.75" customHeight="1">
      <c r="C7" s="527" t="s">
        <v>3</v>
      </c>
      <c r="D7" s="527"/>
      <c r="E7" s="49"/>
      <c r="F7" s="49"/>
      <c r="G7" s="50" t="s">
        <v>361</v>
      </c>
      <c r="H7" s="51"/>
      <c r="K7" s="49" t="s">
        <v>174</v>
      </c>
      <c r="M7" s="599" t="str">
        <f>PAALAN!L7</f>
        <v>September  11-25, 2026</v>
      </c>
      <c r="N7" s="599"/>
      <c r="O7" s="599"/>
    </row>
    <row r="8" spans="1:21" ht="18.75" customHeight="1">
      <c r="C8" s="527" t="s">
        <v>175</v>
      </c>
      <c r="D8" s="527"/>
      <c r="E8" s="49"/>
      <c r="F8" s="49"/>
      <c r="G8" s="50" t="s">
        <v>362</v>
      </c>
      <c r="H8" s="51"/>
      <c r="K8" s="49" t="s">
        <v>176</v>
      </c>
      <c r="L8" s="92"/>
      <c r="M8" s="600" t="str">
        <f>PAALAN!L8</f>
        <v>9/31/2026</v>
      </c>
      <c r="N8" s="600"/>
      <c r="O8" s="600"/>
    </row>
    <row r="9" spans="1:21">
      <c r="C9" s="52"/>
      <c r="D9" s="53"/>
      <c r="E9" s="53"/>
      <c r="F9" s="53"/>
      <c r="G9" s="53"/>
    </row>
    <row r="10" spans="1:21">
      <c r="B10" s="54" t="s">
        <v>10</v>
      </c>
      <c r="C10" s="54" t="s">
        <v>11</v>
      </c>
      <c r="D10" s="54" t="s">
        <v>12</v>
      </c>
      <c r="E10" s="54"/>
      <c r="F10" s="54"/>
      <c r="G10" s="55" t="s">
        <v>13</v>
      </c>
    </row>
    <row r="11" spans="1:21">
      <c r="B11" s="56">
        <v>2026</v>
      </c>
      <c r="C11" s="56" t="s">
        <v>177</v>
      </c>
      <c r="D11" s="56">
        <v>11</v>
      </c>
      <c r="E11" s="56"/>
      <c r="F11" s="56"/>
      <c r="G11" s="56" t="s">
        <v>178</v>
      </c>
    </row>
    <row r="12" spans="1:21">
      <c r="B12" s="57"/>
      <c r="C12" s="57"/>
      <c r="H12" s="57"/>
      <c r="K12" s="57"/>
      <c r="L12" s="57"/>
      <c r="M12" s="57"/>
    </row>
    <row r="13" spans="1:21" ht="32.1" customHeight="1">
      <c r="B13" s="159" t="s">
        <v>16</v>
      </c>
      <c r="C13" s="159" t="s">
        <v>17</v>
      </c>
      <c r="D13" s="159" t="s">
        <v>18</v>
      </c>
      <c r="E13" s="160"/>
      <c r="F13" s="160"/>
      <c r="G13" s="160" t="s">
        <v>19</v>
      </c>
      <c r="H13" s="161" t="s">
        <v>179</v>
      </c>
      <c r="L13" s="93"/>
      <c r="M13" s="93"/>
      <c r="N13" s="94"/>
      <c r="O13" s="159" t="s">
        <v>16</v>
      </c>
      <c r="P13" s="159" t="s">
        <v>17</v>
      </c>
      <c r="Q13" s="159" t="s">
        <v>18</v>
      </c>
      <c r="R13" s="160"/>
      <c r="S13" s="160"/>
      <c r="T13" s="160" t="s">
        <v>19</v>
      </c>
      <c r="U13" s="161" t="s">
        <v>179</v>
      </c>
    </row>
    <row r="14" spans="1:21">
      <c r="B14" s="61">
        <v>0.33333333333333331</v>
      </c>
      <c r="C14" s="62">
        <v>10</v>
      </c>
      <c r="D14" s="63">
        <f>(13000/26)/8</f>
        <v>62.5</v>
      </c>
      <c r="E14" s="142"/>
      <c r="F14" s="142"/>
      <c r="G14" s="64">
        <f>(D14*25%)+D14</f>
        <v>78.125</v>
      </c>
      <c r="H14" s="65">
        <v>105</v>
      </c>
      <c r="I14" s="95"/>
      <c r="L14" s="57"/>
      <c r="M14" s="57"/>
      <c r="N14" s="95"/>
      <c r="O14" s="61">
        <v>0.375</v>
      </c>
      <c r="P14" s="62">
        <v>3</v>
      </c>
      <c r="Q14" s="63">
        <f>(16082.56/26)/8</f>
        <v>77.319999999999993</v>
      </c>
      <c r="R14" s="142"/>
      <c r="S14" s="142"/>
      <c r="T14" s="64">
        <f>(Q14*25%)+Q14</f>
        <v>96.649999999999991</v>
      </c>
      <c r="U14" s="65">
        <v>99</v>
      </c>
    </row>
    <row r="15" spans="1:21">
      <c r="N15" s="96"/>
    </row>
    <row r="16" spans="1:21" ht="23.25">
      <c r="B16" s="66"/>
      <c r="C16" s="67" t="s">
        <v>20</v>
      </c>
      <c r="D16" s="67" t="s">
        <v>12</v>
      </c>
      <c r="E16" s="67"/>
      <c r="F16" s="67"/>
      <c r="G16" s="67" t="s">
        <v>21</v>
      </c>
      <c r="H16" s="67" t="s">
        <v>22</v>
      </c>
      <c r="I16" s="68" t="s">
        <v>23</v>
      </c>
      <c r="J16" s="68" t="s">
        <v>24</v>
      </c>
      <c r="K16" s="68" t="s">
        <v>25</v>
      </c>
      <c r="L16" s="67" t="s">
        <v>180</v>
      </c>
      <c r="M16" s="134" t="s">
        <v>181</v>
      </c>
      <c r="N16" s="67" t="s">
        <v>26</v>
      </c>
    </row>
    <row r="17" spans="2:34">
      <c r="B17" s="432">
        <v>1</v>
      </c>
      <c r="C17" s="429">
        <f>DATE($B$11,MATCH($C$11,Data!$B$2:$B$13,0),BARORO!$D$11)</f>
        <v>46276</v>
      </c>
      <c r="D17" s="430">
        <f>DATE($B$11,MATCH($C$11,Data!$B$2:$B$13,0),BARORO!$D$11)</f>
        <v>46276</v>
      </c>
      <c r="E17" s="424">
        <v>0.33333333333333331</v>
      </c>
      <c r="F17" s="424">
        <v>0</v>
      </c>
      <c r="G17" s="424">
        <f t="shared" ref="G17:G28" si="0">E17-F17</f>
        <v>0.33333333333333331</v>
      </c>
      <c r="H17" s="424">
        <v>0.75</v>
      </c>
      <c r="I17" s="425">
        <v>1</v>
      </c>
      <c r="J17" s="425">
        <f t="shared" ref="J17:J28" si="1">IFERROR(IF(AND(G17&lt;&gt;"",H17&lt;&gt;""),IF(G17&gt;$B$14+TIME($C$14,($C$14-INT($C$14))*60,0),0,IF(H17&gt;$B$14+TIME($C$14,($C$14-INT($C$14))*60,0),MIN(TIME($C$14,($C$14-INT($C$14))*60,0),($B$14+TIME($C$14,($C$14-INT($C$14))*60,0)-G17)),MIN(IF((H17-$B$14)&lt;0,0,(H17-$B$14)),(H17-G17))))*24,"")-I17,"")</f>
        <v>9</v>
      </c>
      <c r="K17" s="425">
        <v>1</v>
      </c>
      <c r="L17" s="426">
        <f>E17-B14</f>
        <v>0</v>
      </c>
      <c r="M17" s="423">
        <f>(D14/60)*0</f>
        <v>0</v>
      </c>
      <c r="N17" s="427">
        <f>IFERROR(J17*IF(AND(ISNUMBER(SEARCH(TEXT(C17,"ddd"),$G$11)),Data!$F$2),$G$14,$D$14)+K17*$G$14,"")</f>
        <v>640.625</v>
      </c>
      <c r="O17" s="141">
        <f t="shared" ref="O17:O30" si="2">M17+N17</f>
        <v>640.625</v>
      </c>
      <c r="P17" s="100"/>
      <c r="Q17" s="89"/>
    </row>
    <row r="18" spans="2:34">
      <c r="B18" s="432">
        <v>2</v>
      </c>
      <c r="C18" s="429">
        <f t="shared" ref="C18:D31" si="3">C17+1</f>
        <v>46277</v>
      </c>
      <c r="D18" s="430">
        <f t="shared" si="3"/>
        <v>46277</v>
      </c>
      <c r="E18" s="424">
        <v>0.375</v>
      </c>
      <c r="F18" s="424">
        <v>0</v>
      </c>
      <c r="G18" s="424">
        <f t="shared" si="0"/>
        <v>0.375</v>
      </c>
      <c r="H18" s="424">
        <v>0.5</v>
      </c>
      <c r="I18" s="425">
        <v>0</v>
      </c>
      <c r="J18" s="425">
        <f t="shared" si="1"/>
        <v>3</v>
      </c>
      <c r="K18" s="425">
        <v>4</v>
      </c>
      <c r="L18" s="426">
        <f>E18-B14</f>
        <v>4.1666666666666685E-2</v>
      </c>
      <c r="M18" s="423">
        <f>(D14/60)*0</f>
        <v>0</v>
      </c>
      <c r="N18" s="427">
        <f>IFERROR(J18*IF(AND(ISNUMBER(SEARCH(TEXT(C18,"ddd"),$G$11)),Data!$F$2),$G$14,$D$14)+K18*$G$14,"")</f>
        <v>500</v>
      </c>
      <c r="O18" s="141">
        <f t="shared" si="2"/>
        <v>500</v>
      </c>
      <c r="P18" s="89"/>
      <c r="Q18" s="89"/>
    </row>
    <row r="19" spans="2:34">
      <c r="B19" s="432"/>
      <c r="C19" s="429">
        <f t="shared" si="3"/>
        <v>46278</v>
      </c>
      <c r="D19" s="430">
        <f t="shared" si="3"/>
        <v>46278</v>
      </c>
      <c r="E19" s="424">
        <v>0</v>
      </c>
      <c r="F19" s="424">
        <v>0</v>
      </c>
      <c r="G19" s="424">
        <v>0</v>
      </c>
      <c r="H19" s="424">
        <v>0</v>
      </c>
      <c r="I19" s="425">
        <v>0</v>
      </c>
      <c r="J19" s="425">
        <f t="shared" si="1"/>
        <v>0</v>
      </c>
      <c r="K19" s="425">
        <f t="shared" ref="K19:K28" si="4">IF(AND(G19&lt;&gt;"",H19&lt;&gt;""),((IF(G19&lt;$B$14,MIN($B$14-G19,H19-G19),0)+IF(H19&gt;$B$14+TIME($C$14,($C$14-INT($C$14))*60,0),MIN((H19-$B$14-TIME($C$14,($C$14-INT($C$14))*60,0)),(H19-G19)),0))*24),"")</f>
        <v>0</v>
      </c>
      <c r="L19" s="97">
        <v>0</v>
      </c>
      <c r="M19" s="98">
        <f>(D14/60)*0</f>
        <v>0</v>
      </c>
      <c r="N19" s="251">
        <f>IFERROR(J19*IF(AND(ISNUMBER(SEARCH(TEXT(C19,"ddd"),$G$11)),Data!$F$2),$G$14,$D$14)+K19*$G$14,"")</f>
        <v>0</v>
      </c>
      <c r="O19" s="141">
        <f t="shared" si="2"/>
        <v>0</v>
      </c>
      <c r="P19" s="100"/>
      <c r="Q19" s="104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</row>
    <row r="20" spans="2:34">
      <c r="B20" s="432">
        <v>4</v>
      </c>
      <c r="C20" s="429">
        <f t="shared" si="3"/>
        <v>46279</v>
      </c>
      <c r="D20" s="430">
        <f t="shared" si="3"/>
        <v>46279</v>
      </c>
      <c r="E20" s="424">
        <v>0.33333333333333331</v>
      </c>
      <c r="F20" s="424">
        <v>0</v>
      </c>
      <c r="G20" s="424">
        <f t="shared" si="0"/>
        <v>0.33333333333333331</v>
      </c>
      <c r="H20" s="424">
        <v>0.75</v>
      </c>
      <c r="I20" s="425">
        <v>1</v>
      </c>
      <c r="J20" s="425">
        <f t="shared" si="1"/>
        <v>9</v>
      </c>
      <c r="K20" s="425">
        <f t="shared" si="4"/>
        <v>0</v>
      </c>
      <c r="L20" s="426">
        <f>E20-B14</f>
        <v>0</v>
      </c>
      <c r="M20" s="423">
        <f>(D14/60)*0</f>
        <v>0</v>
      </c>
      <c r="N20" s="427">
        <f>IFERROR(J20*IF(AND(ISNUMBER(SEARCH(TEXT(C20,"ddd"),$G$11)),Data!$F$2),$G$14,$D$14)+K20*$G$14,"")</f>
        <v>562.5</v>
      </c>
      <c r="O20" s="141">
        <f t="shared" si="2"/>
        <v>562.5</v>
      </c>
      <c r="P20" s="103"/>
      <c r="Q20" s="103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28"/>
    </row>
    <row r="21" spans="2:34">
      <c r="B21" s="432">
        <v>5</v>
      </c>
      <c r="C21" s="429">
        <f t="shared" si="3"/>
        <v>46280</v>
      </c>
      <c r="D21" s="430">
        <f t="shared" si="3"/>
        <v>46280</v>
      </c>
      <c r="E21" s="424">
        <v>0.33333333333333331</v>
      </c>
      <c r="F21" s="424">
        <v>0</v>
      </c>
      <c r="G21" s="424">
        <f t="shared" si="0"/>
        <v>0.33333333333333331</v>
      </c>
      <c r="H21" s="424">
        <v>0.75</v>
      </c>
      <c r="I21" s="425">
        <v>1</v>
      </c>
      <c r="J21" s="425">
        <f t="shared" si="1"/>
        <v>9</v>
      </c>
      <c r="K21" s="425">
        <f t="shared" si="4"/>
        <v>0</v>
      </c>
      <c r="L21" s="426">
        <v>0</v>
      </c>
      <c r="M21" s="423">
        <f>(D14/60)*0</f>
        <v>0</v>
      </c>
      <c r="N21" s="427">
        <f>IFERROR(J21*IF(AND(ISNUMBER(SEARCH(TEXT(C21,"ddd"),$G$11)),Data!$F$2),$G$14,$D$14)+K21*$G$14,"")</f>
        <v>562.5</v>
      </c>
      <c r="O21" s="141">
        <f t="shared" si="2"/>
        <v>562.5</v>
      </c>
      <c r="P21" s="162"/>
      <c r="Q21" s="108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4"/>
    </row>
    <row r="22" spans="2:34">
      <c r="B22" s="432">
        <v>6</v>
      </c>
      <c r="C22" s="429">
        <f t="shared" si="3"/>
        <v>46281</v>
      </c>
      <c r="D22" s="430">
        <f t="shared" si="3"/>
        <v>46281</v>
      </c>
      <c r="E22" s="424">
        <v>0.33333333333333331</v>
      </c>
      <c r="F22" s="424">
        <v>0</v>
      </c>
      <c r="G22" s="424">
        <f t="shared" si="0"/>
        <v>0.33333333333333331</v>
      </c>
      <c r="H22" s="424">
        <v>0.75</v>
      </c>
      <c r="I22" s="425">
        <v>1</v>
      </c>
      <c r="J22" s="425">
        <f t="shared" si="1"/>
        <v>9</v>
      </c>
      <c r="K22" s="425">
        <f t="shared" si="4"/>
        <v>0</v>
      </c>
      <c r="L22" s="426">
        <v>0</v>
      </c>
      <c r="M22" s="423">
        <f>(D14/60)*0</f>
        <v>0</v>
      </c>
      <c r="N22" s="427">
        <f>IFERROR(J22*IF(AND(ISNUMBER(SEARCH(TEXT(C22,"ddd"),$G$11)),Data!$F$2),$G$14,$D$14)+K22*$G$14,"")</f>
        <v>562.5</v>
      </c>
      <c r="O22" s="141">
        <f t="shared" si="2"/>
        <v>562.5</v>
      </c>
      <c r="P22" s="163">
        <f>O21-O22</f>
        <v>0</v>
      </c>
      <c r="Q22" s="135"/>
      <c r="R22" s="96">
        <v>0.40486111111111101</v>
      </c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4"/>
    </row>
    <row r="23" spans="2:34">
      <c r="B23" s="432">
        <v>6</v>
      </c>
      <c r="C23" s="429">
        <f t="shared" si="3"/>
        <v>46282</v>
      </c>
      <c r="D23" s="430">
        <f t="shared" si="3"/>
        <v>46282</v>
      </c>
      <c r="E23" s="424">
        <v>0.33333333333333331</v>
      </c>
      <c r="F23" s="424">
        <v>0</v>
      </c>
      <c r="G23" s="424">
        <f t="shared" si="0"/>
        <v>0.33333333333333331</v>
      </c>
      <c r="H23" s="424">
        <v>0.75</v>
      </c>
      <c r="I23" s="425">
        <v>1</v>
      </c>
      <c r="J23" s="425">
        <f t="shared" si="1"/>
        <v>9</v>
      </c>
      <c r="K23" s="425">
        <f t="shared" si="4"/>
        <v>0</v>
      </c>
      <c r="L23" s="426">
        <f>G23-B14</f>
        <v>0</v>
      </c>
      <c r="M23" s="423">
        <f>(D14/60)*0</f>
        <v>0</v>
      </c>
      <c r="N23" s="427">
        <f>IFERROR(J23*IF(AND(ISNUMBER(SEARCH(TEXT(C23,"ddd"),$G$11)),Data!$F$2),$G$14,$D$14)+K23*$G$14,"")</f>
        <v>562.5</v>
      </c>
      <c r="O23" s="141">
        <f t="shared" si="2"/>
        <v>562.5</v>
      </c>
      <c r="P23" s="150"/>
      <c r="Q23" s="89"/>
      <c r="R23" s="96">
        <v>1.0416666666666701E-2</v>
      </c>
    </row>
    <row r="24" spans="2:34">
      <c r="B24" s="432">
        <v>7</v>
      </c>
      <c r="C24" s="429">
        <f t="shared" si="3"/>
        <v>46283</v>
      </c>
      <c r="D24" s="430">
        <f t="shared" si="3"/>
        <v>46283</v>
      </c>
      <c r="E24" s="424">
        <v>0.33333333333333331</v>
      </c>
      <c r="F24" s="424">
        <v>0</v>
      </c>
      <c r="G24" s="424">
        <f t="shared" si="0"/>
        <v>0.33333333333333331</v>
      </c>
      <c r="H24" s="424">
        <v>0.75</v>
      </c>
      <c r="I24" s="425">
        <v>1</v>
      </c>
      <c r="J24" s="425">
        <f t="shared" si="1"/>
        <v>9</v>
      </c>
      <c r="K24" s="425">
        <f t="shared" si="4"/>
        <v>0</v>
      </c>
      <c r="L24" s="426">
        <f>E24-B14</f>
        <v>0</v>
      </c>
      <c r="M24" s="423">
        <f>(D14/60)*0</f>
        <v>0</v>
      </c>
      <c r="N24" s="427">
        <f>IFERROR(J24*IF(AND(ISNUMBER(SEARCH(TEXT(C24,"ddd"),$G$11)),Data!$F$2),$G$14,$D$14)+K24*$G$14,"")</f>
        <v>562.5</v>
      </c>
      <c r="O24" s="141">
        <f t="shared" si="2"/>
        <v>562.5</v>
      </c>
      <c r="P24" s="155"/>
      <c r="Q24" s="89"/>
      <c r="R24" s="129">
        <f>R22-R23</f>
        <v>0.39444444444444432</v>
      </c>
    </row>
    <row r="25" spans="2:34">
      <c r="B25" s="432">
        <v>8</v>
      </c>
      <c r="C25" s="429">
        <f t="shared" si="3"/>
        <v>46284</v>
      </c>
      <c r="D25" s="430">
        <f t="shared" si="3"/>
        <v>46284</v>
      </c>
      <c r="E25" s="424">
        <v>0</v>
      </c>
      <c r="F25" s="424">
        <v>0</v>
      </c>
      <c r="G25" s="424">
        <f t="shared" si="0"/>
        <v>0</v>
      </c>
      <c r="H25" s="424">
        <v>0</v>
      </c>
      <c r="I25" s="425">
        <v>0</v>
      </c>
      <c r="J25" s="425">
        <f t="shared" si="1"/>
        <v>0</v>
      </c>
      <c r="K25" s="425">
        <f t="shared" si="4"/>
        <v>0</v>
      </c>
      <c r="L25" s="433">
        <v>0</v>
      </c>
      <c r="M25" s="423">
        <f>(D14/60)*180</f>
        <v>187.5</v>
      </c>
      <c r="N25" s="427">
        <f>IFERROR(J25*IF(AND(ISNUMBER(SEARCH(TEXT(C25,"ddd"),$G$11)),Data!$F$2),$G$14,$D$14)+K25*$G$14,"")</f>
        <v>0</v>
      </c>
      <c r="O25" s="141">
        <f t="shared" si="2"/>
        <v>187.5</v>
      </c>
      <c r="P25" s="89"/>
      <c r="Q25" s="89"/>
    </row>
    <row r="26" spans="2:34">
      <c r="B26" s="432"/>
      <c r="C26" s="429">
        <f t="shared" si="3"/>
        <v>46285</v>
      </c>
      <c r="D26" s="430">
        <f t="shared" si="3"/>
        <v>46285</v>
      </c>
      <c r="E26" s="424">
        <v>0</v>
      </c>
      <c r="F26" s="424">
        <v>0</v>
      </c>
      <c r="G26" s="424">
        <f t="shared" si="0"/>
        <v>0</v>
      </c>
      <c r="H26" s="424">
        <v>0</v>
      </c>
      <c r="I26" s="425">
        <v>0</v>
      </c>
      <c r="J26" s="425">
        <f t="shared" si="1"/>
        <v>0</v>
      </c>
      <c r="K26" s="425">
        <f t="shared" si="4"/>
        <v>0</v>
      </c>
      <c r="L26" s="97">
        <v>0</v>
      </c>
      <c r="M26" s="98">
        <f>(D14/60)*0</f>
        <v>0</v>
      </c>
      <c r="N26" s="251">
        <f>IFERROR(J26*IF(AND(ISNUMBER(SEARCH(TEXT(C26,"ddd"),$G$11)),Data!$F$2),$G$14,$D$14)+K26*$G$14,"")</f>
        <v>0</v>
      </c>
      <c r="O26" s="141">
        <f t="shared" si="2"/>
        <v>0</v>
      </c>
      <c r="P26" s="89"/>
      <c r="Q26" s="89"/>
    </row>
    <row r="27" spans="2:34">
      <c r="B27" s="432">
        <v>9</v>
      </c>
      <c r="C27" s="429">
        <f t="shared" si="3"/>
        <v>46286</v>
      </c>
      <c r="D27" s="430">
        <f t="shared" si="3"/>
        <v>46286</v>
      </c>
      <c r="E27" s="424">
        <v>0.33333333333333331</v>
      </c>
      <c r="F27" s="424">
        <v>0</v>
      </c>
      <c r="G27" s="424">
        <v>0</v>
      </c>
      <c r="H27" s="424">
        <v>0.75</v>
      </c>
      <c r="I27" s="425">
        <v>1</v>
      </c>
      <c r="J27" s="425">
        <f t="shared" si="1"/>
        <v>9</v>
      </c>
      <c r="K27" s="425">
        <v>0</v>
      </c>
      <c r="L27" s="426">
        <v>0</v>
      </c>
      <c r="M27" s="423">
        <f>(D14/60)*0</f>
        <v>0</v>
      </c>
      <c r="N27" s="427">
        <f>IFERROR(J27*IF(AND(ISNUMBER(SEARCH(TEXT(C27,"ddd"),$G$11)),Data!$F$2),$G$14,$D$14)+K27*$G$14,"")</f>
        <v>562.5</v>
      </c>
      <c r="O27" s="141">
        <f t="shared" si="2"/>
        <v>562.5</v>
      </c>
      <c r="P27" s="127"/>
      <c r="Q27" s="89"/>
    </row>
    <row r="28" spans="2:34">
      <c r="B28" s="432">
        <v>10</v>
      </c>
      <c r="C28" s="429">
        <f t="shared" si="3"/>
        <v>46287</v>
      </c>
      <c r="D28" s="430">
        <f t="shared" si="3"/>
        <v>46287</v>
      </c>
      <c r="E28" s="424">
        <v>0.33333333333333331</v>
      </c>
      <c r="F28" s="424">
        <v>0</v>
      </c>
      <c r="G28" s="424">
        <f t="shared" si="0"/>
        <v>0.33333333333333331</v>
      </c>
      <c r="H28" s="424">
        <v>0.75</v>
      </c>
      <c r="I28" s="425">
        <v>1</v>
      </c>
      <c r="J28" s="425">
        <f t="shared" si="1"/>
        <v>9</v>
      </c>
      <c r="K28" s="425">
        <f t="shared" si="4"/>
        <v>0</v>
      </c>
      <c r="L28" s="426">
        <v>0</v>
      </c>
      <c r="M28" s="423">
        <f>(D14/60)*0</f>
        <v>0</v>
      </c>
      <c r="N28" s="427">
        <f>IFERROR(J28*IF(AND(ISNUMBER(SEARCH(TEXT(C28,"ddd"),$G$11)),Data!$F$2),$G$14,$D$14)+K28*$G$14,"")</f>
        <v>562.5</v>
      </c>
      <c r="O28" s="141">
        <f t="shared" si="2"/>
        <v>562.5</v>
      </c>
      <c r="Q28" s="89"/>
    </row>
    <row r="29" spans="2:34">
      <c r="B29" s="432">
        <v>11</v>
      </c>
      <c r="C29" s="429">
        <f t="shared" si="3"/>
        <v>46288</v>
      </c>
      <c r="D29" s="430">
        <f t="shared" ref="D29" si="5">D28+1</f>
        <v>46288</v>
      </c>
      <c r="E29" s="424">
        <v>0.33333333333333331</v>
      </c>
      <c r="F29" s="424">
        <v>0</v>
      </c>
      <c r="G29" s="424">
        <f t="shared" ref="G29" si="6">E29-F29</f>
        <v>0.33333333333333331</v>
      </c>
      <c r="H29" s="424">
        <v>0.75</v>
      </c>
      <c r="I29" s="425">
        <v>1</v>
      </c>
      <c r="J29" s="425">
        <f t="shared" ref="J29:J31" si="7">IFERROR(IF(AND(G29&lt;&gt;"",H29&lt;&gt;""),IF(G29&gt;$B$14+TIME($C$14,($C$14-INT($C$14))*60,0),0,IF(H29&gt;$B$14+TIME($C$14,($C$14-INT($C$14))*60,0),MIN(TIME($C$14,($C$14-INT($C$14))*60,0),($B$14+TIME($C$14,($C$14-INT($C$14))*60,0)-G29)),MIN(IF((H29-$B$14)&lt;0,0,(H29-$B$14)),(H29-G29))))*24,"")-I29,"")</f>
        <v>9</v>
      </c>
      <c r="K29" s="425">
        <v>2</v>
      </c>
      <c r="L29" s="426">
        <v>0</v>
      </c>
      <c r="M29" s="423">
        <f>(D14/60)*0</f>
        <v>0</v>
      </c>
      <c r="N29" s="427">
        <f>IFERROR(J29*IF(AND(ISNUMBER(SEARCH(TEXT(C29,"ddd"),$G$11)),Data!$F$2),$G$14,$D$14)+K29*$G$14,"")</f>
        <v>718.75</v>
      </c>
      <c r="O29" s="141">
        <f>M29+N29</f>
        <v>718.75</v>
      </c>
      <c r="P29" s="95">
        <f>O28-O29</f>
        <v>-156.25</v>
      </c>
      <c r="Q29" s="89"/>
    </row>
    <row r="30" spans="2:34">
      <c r="B30" s="432">
        <v>12</v>
      </c>
      <c r="C30" s="429">
        <f t="shared" si="3"/>
        <v>46289</v>
      </c>
      <c r="D30" s="430">
        <f t="shared" ref="D30" si="8">D29+1</f>
        <v>46289</v>
      </c>
      <c r="E30" s="424">
        <v>0.33333333333333331</v>
      </c>
      <c r="F30" s="424">
        <v>0</v>
      </c>
      <c r="G30" s="424">
        <f>E30-F30</f>
        <v>0.33333333333333331</v>
      </c>
      <c r="H30" s="424">
        <v>0.75</v>
      </c>
      <c r="I30" s="425">
        <v>1</v>
      </c>
      <c r="J30" s="425">
        <f t="shared" si="7"/>
        <v>9</v>
      </c>
      <c r="K30" s="425">
        <v>2</v>
      </c>
      <c r="L30" s="426">
        <f>G30-B14</f>
        <v>0</v>
      </c>
      <c r="M30" s="423">
        <f>(D14/60)*0</f>
        <v>0</v>
      </c>
      <c r="N30" s="427">
        <f>IFERROR(J30*IF(AND(ISNUMBER(SEARCH(TEXT(C30,"ddd"),$G$11)),Data!$F$2),$G$14,$D$14)+K30*$G$14,"")</f>
        <v>718.75</v>
      </c>
      <c r="O30" s="141">
        <f t="shared" si="2"/>
        <v>718.75</v>
      </c>
      <c r="P30" s="127"/>
      <c r="Q30" s="89"/>
    </row>
    <row r="31" spans="2:34">
      <c r="B31" s="432">
        <v>13</v>
      </c>
      <c r="C31" s="429">
        <f t="shared" si="3"/>
        <v>46290</v>
      </c>
      <c r="D31" s="430">
        <f t="shared" ref="D31" si="9">D30+1</f>
        <v>46290</v>
      </c>
      <c r="E31" s="424">
        <v>0.33333333333333331</v>
      </c>
      <c r="F31" s="424">
        <v>0</v>
      </c>
      <c r="G31" s="424">
        <f>E31-F31</f>
        <v>0.33333333333333331</v>
      </c>
      <c r="H31" s="424">
        <v>0.75</v>
      </c>
      <c r="I31" s="425">
        <v>1</v>
      </c>
      <c r="J31" s="425">
        <f t="shared" si="7"/>
        <v>9</v>
      </c>
      <c r="K31" s="425">
        <v>4</v>
      </c>
      <c r="L31" s="426">
        <v>0</v>
      </c>
      <c r="M31" s="423">
        <f>(D14/60)*0</f>
        <v>0</v>
      </c>
      <c r="N31" s="427">
        <f>IFERROR(J31*IF(AND(ISNUMBER(SEARCH(TEXT(C31,"ddd"),$G$11)),Data!$F$2),$G$14,$D$14)+K31*$G$14,"")</f>
        <v>875</v>
      </c>
      <c r="O31" s="141">
        <f>M31+N31</f>
        <v>875</v>
      </c>
      <c r="P31" s="95">
        <f>O28-O31</f>
        <v>-312.5</v>
      </c>
    </row>
    <row r="32" spans="2:34">
      <c r="B32" s="441"/>
      <c r="C32" s="442"/>
      <c r="D32" s="443"/>
      <c r="E32" s="444"/>
      <c r="F32" s="444"/>
      <c r="G32" s="593" t="s">
        <v>182</v>
      </c>
      <c r="H32" s="594"/>
      <c r="I32" s="445">
        <f>SUM(I17:I31)</f>
        <v>11</v>
      </c>
      <c r="J32" s="445">
        <f>SUM(J17:J31)</f>
        <v>102</v>
      </c>
      <c r="K32" s="445">
        <f>SUM(K17:K31)</f>
        <v>13</v>
      </c>
      <c r="L32" s="445">
        <f>SUM(L17:L31)</f>
        <v>4.1666666666666685E-2</v>
      </c>
      <c r="M32" s="445">
        <f>SUM(M17:M31)</f>
        <v>187.5</v>
      </c>
      <c r="N32" s="441"/>
      <c r="O32" s="165">
        <f>SUM(O17:O31)</f>
        <v>7578.125</v>
      </c>
      <c r="P32" s="165">
        <f>SUM(P17:P31)</f>
        <v>-468.75</v>
      </c>
      <c r="Q32" s="95">
        <f>O32+P32</f>
        <v>7109.375</v>
      </c>
    </row>
    <row r="33" spans="2:17">
      <c r="B33" s="66"/>
      <c r="C33" s="76"/>
      <c r="D33" s="77"/>
      <c r="E33" s="144"/>
      <c r="F33" s="144"/>
      <c r="G33" s="81" t="s">
        <v>39</v>
      </c>
      <c r="H33" s="82"/>
      <c r="I33" s="83"/>
      <c r="J33" s="84"/>
      <c r="K33" s="116"/>
      <c r="L33" s="102">
        <f>(D14/60)*0</f>
        <v>0</v>
      </c>
      <c r="M33" s="118"/>
      <c r="N33" s="166">
        <f>D14*H14</f>
        <v>6562.5</v>
      </c>
      <c r="O33" s="95"/>
      <c r="P33" s="95"/>
      <c r="Q33" s="95"/>
    </row>
    <row r="34" spans="2:17">
      <c r="B34" s="65"/>
      <c r="C34" s="65"/>
      <c r="D34" s="85"/>
      <c r="E34" s="85"/>
      <c r="F34" s="85"/>
      <c r="G34" s="592" t="s">
        <v>183</v>
      </c>
      <c r="H34" s="592"/>
      <c r="I34" s="80"/>
      <c r="J34" s="80">
        <f>H14-J32</f>
        <v>3</v>
      </c>
      <c r="K34" s="65"/>
      <c r="L34" s="120"/>
      <c r="M34" s="65"/>
      <c r="N34" s="121">
        <f>M32</f>
        <v>187.5</v>
      </c>
      <c r="O34" s="151">
        <f>O32-O33</f>
        <v>7578.125</v>
      </c>
      <c r="P34" s="95"/>
      <c r="Q34" s="95"/>
    </row>
    <row r="35" spans="2:17">
      <c r="B35" s="65"/>
      <c r="C35" s="65"/>
      <c r="D35" s="85"/>
      <c r="E35" s="145"/>
      <c r="F35" s="145"/>
      <c r="G35" s="78" t="s">
        <v>41</v>
      </c>
      <c r="H35" s="79"/>
      <c r="I35" s="66"/>
      <c r="J35" s="66"/>
      <c r="K35" s="80"/>
      <c r="L35" s="80"/>
      <c r="M35" s="80"/>
      <c r="N35" s="121">
        <f>N33-N34</f>
        <v>6375</v>
      </c>
      <c r="O35" s="95"/>
      <c r="P35" s="95"/>
      <c r="Q35" s="95"/>
    </row>
    <row r="36" spans="2:17">
      <c r="B36" s="65"/>
      <c r="C36" s="65"/>
      <c r="D36" s="85"/>
      <c r="E36" s="146"/>
      <c r="F36" s="146"/>
      <c r="G36" s="604" t="s">
        <v>184</v>
      </c>
      <c r="H36" s="605"/>
      <c r="I36" s="80"/>
      <c r="J36" s="401"/>
      <c r="K36" s="122"/>
      <c r="L36" s="122"/>
      <c r="M36" s="122"/>
      <c r="N36" s="123">
        <f>(G14*K32)+N56</f>
        <v>1015.625</v>
      </c>
      <c r="O36" s="95"/>
    </row>
    <row r="37" spans="2:17">
      <c r="B37" s="65"/>
      <c r="C37" s="65"/>
      <c r="D37" s="85"/>
      <c r="E37" s="146"/>
      <c r="F37" s="146"/>
      <c r="G37" s="86" t="s">
        <v>185</v>
      </c>
      <c r="H37" s="87"/>
      <c r="I37" s="80"/>
      <c r="J37" s="66"/>
      <c r="K37" s="122"/>
      <c r="L37" s="122"/>
      <c r="M37" s="122"/>
      <c r="N37" s="123">
        <v>0</v>
      </c>
      <c r="O37" s="95"/>
    </row>
    <row r="38" spans="2:17">
      <c r="B38" s="65"/>
      <c r="C38" s="65"/>
      <c r="D38" s="85"/>
      <c r="E38" s="145"/>
      <c r="F38" s="145"/>
      <c r="G38" s="597" t="s">
        <v>186</v>
      </c>
      <c r="H38" s="598"/>
      <c r="I38" s="66"/>
      <c r="J38" s="66"/>
      <c r="K38" s="66"/>
      <c r="L38" s="66"/>
      <c r="M38" s="66"/>
      <c r="N38" s="124">
        <f>N35+N36+N37</f>
        <v>7390.625</v>
      </c>
      <c r="O38" s="95"/>
    </row>
    <row r="39" spans="2:17">
      <c r="D39" s="88"/>
      <c r="E39" s="88"/>
      <c r="F39" s="88"/>
      <c r="G39" s="589"/>
      <c r="H39" s="589"/>
      <c r="I39" s="90"/>
      <c r="J39" s="90"/>
      <c r="K39" s="125"/>
      <c r="L39" s="125"/>
      <c r="M39" s="125"/>
      <c r="N39" s="126"/>
      <c r="O39" s="127"/>
    </row>
    <row r="40" spans="2:17">
      <c r="D40" s="91"/>
      <c r="E40" s="91"/>
      <c r="F40" s="91"/>
      <c r="M40" t="s">
        <v>196</v>
      </c>
    </row>
    <row r="41" spans="2:17">
      <c r="B41" s="590" t="s">
        <v>187</v>
      </c>
      <c r="C41" s="590"/>
      <c r="D41" s="590"/>
      <c r="E41" s="590"/>
      <c r="F41" s="590"/>
      <c r="G41" s="590"/>
      <c r="H41" s="590"/>
      <c r="I41" s="590"/>
      <c r="J41" s="590"/>
      <c r="K41" s="590"/>
      <c r="L41" s="590"/>
      <c r="M41" s="590"/>
      <c r="N41" s="590"/>
    </row>
    <row r="42" spans="2:17">
      <c r="D42" s="91"/>
      <c r="E42" s="91"/>
      <c r="F42" s="91"/>
    </row>
    <row r="43" spans="2:17">
      <c r="D43" s="91" t="s">
        <v>188</v>
      </c>
      <c r="E43" s="91"/>
      <c r="F43" s="91"/>
      <c r="N43" s="95"/>
    </row>
    <row r="44" spans="2:17">
      <c r="D44" s="54" t="s">
        <v>10</v>
      </c>
      <c r="E44" s="54"/>
      <c r="F44" s="54"/>
      <c r="G44" s="54" t="s">
        <v>11</v>
      </c>
      <c r="H44" s="54" t="s">
        <v>12</v>
      </c>
      <c r="I44" s="55" t="s">
        <v>13</v>
      </c>
    </row>
    <row r="45" spans="2:17">
      <c r="D45" s="56">
        <v>2026</v>
      </c>
      <c r="E45" s="56"/>
      <c r="F45" s="56"/>
      <c r="G45" s="56" t="s">
        <v>204</v>
      </c>
      <c r="H45" s="56">
        <v>12</v>
      </c>
      <c r="I45" s="56" t="s">
        <v>15</v>
      </c>
    </row>
    <row r="46" spans="2:17">
      <c r="D46" s="57"/>
      <c r="E46" s="57"/>
      <c r="F46" s="57"/>
      <c r="G46" s="57"/>
    </row>
    <row r="47" spans="2:17" ht="33.75">
      <c r="D47" s="159" t="s">
        <v>16</v>
      </c>
      <c r="E47" s="159"/>
      <c r="F47" s="159"/>
      <c r="G47" s="159" t="s">
        <v>17</v>
      </c>
      <c r="H47" s="159" t="s">
        <v>18</v>
      </c>
      <c r="I47" s="159" t="s">
        <v>19</v>
      </c>
    </row>
    <row r="48" spans="2:17">
      <c r="D48" s="61">
        <v>0.33333333333333298</v>
      </c>
      <c r="E48" s="61"/>
      <c r="F48" s="61"/>
      <c r="G48" s="62">
        <v>10</v>
      </c>
      <c r="H48" s="63">
        <f>D14</f>
        <v>62.5</v>
      </c>
      <c r="I48" s="130">
        <f>(H48*30%)+H48</f>
        <v>81.25</v>
      </c>
    </row>
    <row r="50" spans="3:14">
      <c r="C50" s="131" t="s">
        <v>20</v>
      </c>
      <c r="D50" s="131" t="s">
        <v>12</v>
      </c>
      <c r="E50" s="131"/>
      <c r="F50" s="131"/>
      <c r="G50" s="131" t="s">
        <v>21</v>
      </c>
      <c r="H50" s="131" t="s">
        <v>22</v>
      </c>
      <c r="I50" s="131" t="s">
        <v>23</v>
      </c>
      <c r="J50" s="131" t="s">
        <v>24</v>
      </c>
      <c r="K50" s="131" t="s">
        <v>25</v>
      </c>
      <c r="L50" s="131"/>
      <c r="M50" s="131"/>
      <c r="N50" s="131" t="s">
        <v>26</v>
      </c>
    </row>
    <row r="51" spans="3:14">
      <c r="C51" s="70" t="s">
        <v>353</v>
      </c>
      <c r="D51" s="71">
        <v>12</v>
      </c>
      <c r="E51" s="71"/>
      <c r="F51" s="71"/>
      <c r="G51" s="72">
        <v>0</v>
      </c>
      <c r="H51" s="72">
        <v>0</v>
      </c>
      <c r="I51" s="73">
        <v>0</v>
      </c>
      <c r="J51" s="73">
        <v>0</v>
      </c>
      <c r="K51" s="73">
        <f>IF(AND(G51&lt;&gt;"",H51&lt;&gt;""),((IF(G51&lt;$D$48,MIN($D$48-G51,H51-G51),0)+IF(H51&gt;$D$48+TIME($G$48,($G$48-INT($G$48))*60,0),MIN((H51-$D$48-TIME($G$48,($G$48-INT($G$48))*60,0)),(H51-G51)),0))*24),"")</f>
        <v>0</v>
      </c>
      <c r="L51" s="73"/>
      <c r="M51" s="73"/>
      <c r="N51" s="99">
        <f>(J51*H48)+562.5*30%</f>
        <v>168.75</v>
      </c>
    </row>
    <row r="52" spans="3:14">
      <c r="C52" s="70" t="s">
        <v>445</v>
      </c>
      <c r="D52" s="71">
        <v>23</v>
      </c>
      <c r="E52" s="71"/>
      <c r="F52" s="71"/>
      <c r="G52" s="72">
        <v>0</v>
      </c>
      <c r="H52" s="72">
        <v>0</v>
      </c>
      <c r="I52" s="73">
        <v>0</v>
      </c>
      <c r="J52" s="73">
        <v>0</v>
      </c>
      <c r="K52" s="73">
        <f>IF(AND(G52&lt;&gt;"",H52&lt;&gt;""),((IF(G52&lt;$D$48,MIN($D$48-G52,H52-G52),0)+IF(H52&gt;$D$48+TIME($G$48,($G$48-INT($G$48))*60,0),MIN((H52-$D$48-TIME($G$48,($G$48-INT($G$48))*60,0)),(H52-G52)),0))*24),"")</f>
        <v>0</v>
      </c>
      <c r="L52" s="73"/>
      <c r="M52" s="73"/>
      <c r="N52" s="99">
        <v>0</v>
      </c>
    </row>
    <row r="53" spans="3:14"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318">
        <f>SUM(N51:N52)</f>
        <v>168.75</v>
      </c>
    </row>
    <row r="54" spans="3:14">
      <c r="N54" s="324"/>
    </row>
    <row r="55" spans="3:14">
      <c r="N55" s="324"/>
    </row>
    <row r="56" spans="3:14" ht="12" customHeight="1">
      <c r="C56" s="70" t="s">
        <v>377</v>
      </c>
      <c r="D56" s="71">
        <v>21</v>
      </c>
      <c r="E56" s="71"/>
      <c r="F56" s="71"/>
      <c r="G56" s="72">
        <v>0</v>
      </c>
      <c r="H56" s="72">
        <v>0</v>
      </c>
      <c r="I56" s="73">
        <v>0</v>
      </c>
      <c r="J56" s="73">
        <f>IFERROR(IF(AND(G56&lt;&gt;"",H56&lt;&gt;""),IF(G56&gt;$B$14+TIME($C$14,($C$14-INT($C$14))*60,0),0,IF(H56&gt;$B$14+TIME($C$14,($C$14-INT($C$14))*60,0),MIN(TIME($C$14,($C$14-INT($C$14))*60,0),($B$14+TIME($C$14,($C$14-INT($C$14))*60,0)-G56)),MIN(IF((H56-$B$14)&lt;0,0,(H56-$B$14)),(H56-G56))))*24,"")-I56,"")</f>
        <v>0</v>
      </c>
      <c r="K56" s="73">
        <f>IF(AND(G56&lt;&gt;"",H56&lt;&gt;""),((IF(G56&lt;$D$48,MIN($D$48-G56,H56-G56),0)+IF(H56&gt;$D$48+TIME($G$48,($G$48-INT($G$48))*60,0),MIN((H56-$D$48-TIME($G$48,($G$48-INT($G$48))*60,0)),(H56-G56)),0))*24),"")</f>
        <v>0</v>
      </c>
      <c r="L56" s="73"/>
      <c r="M56" s="73"/>
      <c r="N56" s="99">
        <f>(J56*H48)</f>
        <v>0</v>
      </c>
    </row>
    <row r="57" spans="3:14">
      <c r="N57" s="138"/>
    </row>
    <row r="58" spans="3:14">
      <c r="D58" s="591">
        <v>44981</v>
      </c>
      <c r="E58" s="591"/>
      <c r="F58" s="591"/>
      <c r="G58" s="88">
        <v>562.5</v>
      </c>
      <c r="H58" s="148" t="s">
        <v>280</v>
      </c>
      <c r="I58" s="254"/>
      <c r="N58" s="138"/>
    </row>
    <row r="59" spans="3:14">
      <c r="E59" s="88"/>
      <c r="F59" s="88"/>
      <c r="G59" s="88">
        <f>G58*H59</f>
        <v>168.75</v>
      </c>
      <c r="H59" s="253">
        <v>0.3</v>
      </c>
      <c r="I59" s="254"/>
      <c r="N59" s="138"/>
    </row>
    <row r="60" spans="3:14">
      <c r="E60" s="91"/>
      <c r="F60" s="91"/>
      <c r="G60" s="91"/>
      <c r="N60" s="138"/>
    </row>
    <row r="61" spans="3:14">
      <c r="E61" s="91"/>
      <c r="F61" s="91"/>
      <c r="G61" s="91"/>
      <c r="H61" s="91">
        <f>G59</f>
        <v>168.75</v>
      </c>
      <c r="N61" s="138"/>
    </row>
    <row r="62" spans="3:14">
      <c r="D62" s="132"/>
      <c r="E62" s="132"/>
      <c r="F62" s="132"/>
      <c r="G62" s="133"/>
      <c r="H62" s="133"/>
      <c r="I62" s="133"/>
      <c r="N62" s="138"/>
    </row>
    <row r="63" spans="3:14">
      <c r="D63" s="132"/>
      <c r="E63" s="132"/>
      <c r="F63" s="132"/>
      <c r="G63" s="133"/>
      <c r="H63" s="133"/>
      <c r="I63" s="133"/>
      <c r="N63" s="138"/>
    </row>
    <row r="64" spans="3:14">
      <c r="D64" s="132"/>
      <c r="E64" s="132"/>
      <c r="F64" s="132"/>
      <c r="G64" s="133"/>
      <c r="H64" s="133"/>
      <c r="I64" s="133"/>
    </row>
    <row r="65" spans="3:9">
      <c r="D65" s="132"/>
      <c r="E65" s="132"/>
      <c r="F65" s="132"/>
      <c r="G65" s="133"/>
      <c r="H65" s="133"/>
      <c r="I65" s="133"/>
    </row>
    <row r="66" spans="3:9">
      <c r="F66" s="132"/>
      <c r="G66" s="133"/>
      <c r="H66" s="133"/>
      <c r="I66" s="133"/>
    </row>
    <row r="69" spans="3:9">
      <c r="C69" s="91" t="s">
        <v>141</v>
      </c>
    </row>
    <row r="70" spans="3:9">
      <c r="C70" t="s">
        <v>66</v>
      </c>
    </row>
    <row r="71" spans="3:9">
      <c r="C71" s="91"/>
    </row>
  </sheetData>
  <mergeCells count="12">
    <mergeCell ref="D58:F58"/>
    <mergeCell ref="A6:N6"/>
    <mergeCell ref="C7:D7"/>
    <mergeCell ref="M7:O7"/>
    <mergeCell ref="C8:D8"/>
    <mergeCell ref="M8:O8"/>
    <mergeCell ref="G32:H32"/>
    <mergeCell ref="G34:H34"/>
    <mergeCell ref="G36:H36"/>
    <mergeCell ref="G38:H38"/>
    <mergeCell ref="G39:H39"/>
    <mergeCell ref="B41:N41"/>
  </mergeCells>
  <conditionalFormatting sqref="C17:D17 N17:N31">
    <cfRule type="expression" dxfId="226" priority="131">
      <formula>ISNUMBER(SEARCH(TEXT($C17,"ddd"),$G$10))</formula>
    </cfRule>
  </conditionalFormatting>
  <conditionalFormatting sqref="C18:D31">
    <cfRule type="expression" dxfId="225" priority="132">
      <formula>ISNUMBER(SEARCH(TEXT($C18,"ddd"),$G$11))</formula>
    </cfRule>
  </conditionalFormatting>
  <conditionalFormatting sqref="C51:N52">
    <cfRule type="expression" dxfId="224" priority="1">
      <formula>ISNUMBER(SEARCH(TEXT($C51,"ddd"),$G$11))</formula>
    </cfRule>
  </conditionalFormatting>
  <conditionalFormatting sqref="C56:N56">
    <cfRule type="expression" dxfId="223" priority="41">
      <formula>ISNUMBER(SEARCH(TEXT($C56,"ddd"),$G$11))</formula>
    </cfRule>
  </conditionalFormatting>
  <conditionalFormatting sqref="E17:F31">
    <cfRule type="expression" dxfId="222" priority="7">
      <formula>ISNUMBER(SEARCH(TEXT($C17,"ddd"),$G$11))</formula>
    </cfRule>
  </conditionalFormatting>
  <conditionalFormatting sqref="G17:G29 I17:K29">
    <cfRule type="expression" dxfId="221" priority="76">
      <formula>ISNUMBER(SEARCH(TEXT($C17,"ddd"),$G$11))</formula>
    </cfRule>
  </conditionalFormatting>
  <conditionalFormatting sqref="G30:K31">
    <cfRule type="expression" dxfId="220" priority="57">
      <formula>ISNUMBER(SEARCH(TEXT($C30,"ddd"),$G$11))</formula>
    </cfRule>
  </conditionalFormatting>
  <conditionalFormatting sqref="H17:H31">
    <cfRule type="expression" dxfId="219" priority="2">
      <formula>ISNUMBER(SEARCH(TEXT($C17,"ddd"),$G$11))</formula>
    </cfRule>
  </conditionalFormatting>
  <dataValidations count="5">
    <dataValidation type="list" allowBlank="1" showInputMessage="1" showErrorMessage="1" sqref="D11 H45" xr:uid="{00000000-0002-0000-1600-000000000000}">
      <formula1>DateCalc</formula1>
    </dataValidation>
    <dataValidation type="custom" allowBlank="1" showInputMessage="1" showErrorMessage="1" sqref="H51:H52 H56 H17:H31" xr:uid="{00000000-0002-0000-1600-000001000000}">
      <formula1>AND($H17&lt;=1,ISNUMBER($H17),($H17&gt;=$G17))</formula1>
    </dataValidation>
    <dataValidation type="custom" allowBlank="1" showInputMessage="1" showErrorMessage="1" sqref="G51:G52 G56 E17:G31" xr:uid="{00000000-0002-0000-1600-000002000000}">
      <formula1>AND($G17&lt;=1,ISNUMBER($G17))</formula1>
    </dataValidation>
    <dataValidation type="list" allowBlank="1" showInputMessage="1" showErrorMessage="1" sqref="E11:F11" xr:uid="{00000000-0002-0000-1600-000003000000}">
      <formula1>BARORO!DateCalc</formula1>
    </dataValidation>
    <dataValidation type="list" allowBlank="1" showInputMessage="1" showErrorMessage="1" sqref="G11" xr:uid="{00000000-0002-0000-1600-000006000000}"/>
  </dataValidations>
  <pageMargins left="1.07083333333333" right="0.25" top="0.24645833333333333" bottom="0.29385416666666669" header="0.29861111111111099" footer="0.29861111111111099"/>
  <pageSetup paperSize="9" scale="91" orientation="landscape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72065" r:id="rId4" name="Check Box 1">
              <controlPr defaultSize="0" print="0" autoPict="0">
                <anchor moveWithCells="1">
                  <from>
                    <xdr:col>7</xdr:col>
                    <xdr:colOff>180975</xdr:colOff>
                    <xdr:row>9</xdr:row>
                    <xdr:rowOff>28575</xdr:rowOff>
                  </from>
                  <to>
                    <xdr:col>8</xdr:col>
                    <xdr:colOff>571500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4000000}">
          <x14:formula1>
            <xm:f>Data!$A$2:$A$15</xm:f>
          </x14:formula1>
          <xm:sqref>B11 D45:F45</xm:sqref>
        </x14:dataValidation>
        <x14:dataValidation type="list" allowBlank="1" showInputMessage="1" showErrorMessage="1" xr:uid="{00000000-0002-0000-1600-000005000000}">
          <x14:formula1>
            <xm:f>Data!$B$2:$B$13</xm:f>
          </x14:formula1>
          <xm:sqref>C11 G45</xm:sqref>
        </x14:dataValidation>
        <x14:dataValidation type="list" allowBlank="1" showInputMessage="1" showErrorMessage="1" xr:uid="{00000000-0002-0000-1600-000007000000}">
          <x14:formula1>
            <xm:f>Data!$D$2:$D$16</xm:f>
          </x14:formula1>
          <xm:sqref>I45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5:AH70"/>
  <sheetViews>
    <sheetView showGridLines="0" showWhiteSpace="0" view="pageLayout" zoomScale="160" zoomScaleNormal="100" zoomScalePageLayoutView="160" workbookViewId="0">
      <selection activeCell="M44" sqref="M44"/>
    </sheetView>
  </sheetViews>
  <sheetFormatPr defaultColWidth="9" defaultRowHeight="12.75"/>
  <cols>
    <col min="1" max="1" width="1.625" customWidth="1"/>
    <col min="2" max="2" width="5.375" customWidth="1"/>
    <col min="3" max="3" width="7.125" customWidth="1"/>
    <col min="4" max="6" width="7.625" customWidth="1"/>
    <col min="7" max="7" width="10.125" customWidth="1"/>
    <col min="8" max="8" width="9.625" customWidth="1"/>
    <col min="9" max="9" width="8.125" customWidth="1"/>
    <col min="10" max="10" width="10.125" customWidth="1"/>
    <col min="11" max="11" width="7.875" customWidth="1"/>
    <col min="12" max="12" width="10.125" customWidth="1"/>
    <col min="13" max="13" width="10.375" customWidth="1"/>
    <col min="14" max="14" width="12.5" customWidth="1"/>
    <col min="15" max="15" width="16.875" customWidth="1"/>
    <col min="18" max="18" width="11.125" customWidth="1"/>
  </cols>
  <sheetData>
    <row r="5" spans="1:21" ht="25.5" customHeight="1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21" s="47" customFormat="1" ht="25.5" customHeight="1">
      <c r="A6" s="603"/>
      <c r="B6" s="603"/>
      <c r="C6" s="603"/>
      <c r="D6" s="603"/>
      <c r="E6" s="603"/>
      <c r="F6" s="603"/>
      <c r="G6" s="603"/>
      <c r="H6" s="603"/>
      <c r="I6" s="603"/>
      <c r="J6" s="603"/>
      <c r="K6" s="603"/>
      <c r="L6" s="603"/>
      <c r="M6" s="603"/>
      <c r="N6" s="603"/>
    </row>
    <row r="7" spans="1:21" ht="18.75" customHeight="1">
      <c r="C7" s="527" t="s">
        <v>3</v>
      </c>
      <c r="D7" s="527"/>
      <c r="E7" s="49"/>
      <c r="F7" s="49"/>
      <c r="G7" s="50" t="s">
        <v>374</v>
      </c>
      <c r="H7" s="51"/>
      <c r="K7" s="49" t="s">
        <v>174</v>
      </c>
      <c r="M7" s="599" t="str">
        <f>PAALAN!L7</f>
        <v>September  11-25, 2026</v>
      </c>
      <c r="N7" s="599"/>
      <c r="O7" s="599"/>
    </row>
    <row r="8" spans="1:21" ht="18.75" customHeight="1">
      <c r="C8" s="527" t="s">
        <v>175</v>
      </c>
      <c r="D8" s="527"/>
      <c r="E8" s="49"/>
      <c r="F8" s="49"/>
      <c r="G8" s="50" t="s">
        <v>375</v>
      </c>
      <c r="H8" s="51"/>
      <c r="K8" s="49" t="s">
        <v>176</v>
      </c>
      <c r="L8" s="92"/>
      <c r="M8" s="600" t="str">
        <f>PAALAN!L8</f>
        <v>9/31/2026</v>
      </c>
      <c r="N8" s="600"/>
      <c r="O8" s="600"/>
    </row>
    <row r="9" spans="1:21">
      <c r="C9" s="52"/>
      <c r="D9" s="53"/>
      <c r="E9" s="53"/>
      <c r="F9" s="53"/>
      <c r="G9" s="53"/>
    </row>
    <row r="10" spans="1:21">
      <c r="B10" s="54" t="s">
        <v>10</v>
      </c>
      <c r="C10" s="54" t="s">
        <v>11</v>
      </c>
      <c r="D10" s="54" t="s">
        <v>12</v>
      </c>
      <c r="E10" s="54"/>
      <c r="F10" s="54"/>
      <c r="G10" s="55" t="s">
        <v>13</v>
      </c>
    </row>
    <row r="11" spans="1:21">
      <c r="B11" s="56">
        <v>2026</v>
      </c>
      <c r="C11" s="56" t="s">
        <v>177</v>
      </c>
      <c r="D11" s="56">
        <v>11</v>
      </c>
      <c r="E11" s="56"/>
      <c r="F11" s="56"/>
      <c r="G11" s="56" t="s">
        <v>178</v>
      </c>
    </row>
    <row r="12" spans="1:21">
      <c r="B12" s="57"/>
      <c r="C12" s="57"/>
      <c r="H12" s="57"/>
      <c r="K12" s="57"/>
      <c r="L12" s="57"/>
      <c r="M12" s="57"/>
    </row>
    <row r="13" spans="1:21" ht="32.1" customHeight="1">
      <c r="B13" s="159" t="s">
        <v>16</v>
      </c>
      <c r="C13" s="159" t="s">
        <v>17</v>
      </c>
      <c r="D13" s="159" t="s">
        <v>18</v>
      </c>
      <c r="E13" s="160"/>
      <c r="F13" s="160"/>
      <c r="G13" s="160" t="s">
        <v>19</v>
      </c>
      <c r="H13" s="161" t="s">
        <v>179</v>
      </c>
      <c r="L13" s="93"/>
      <c r="M13" s="93"/>
      <c r="N13" s="94"/>
      <c r="O13" s="159" t="s">
        <v>16</v>
      </c>
      <c r="P13" s="159" t="s">
        <v>17</v>
      </c>
      <c r="Q13" s="159" t="s">
        <v>18</v>
      </c>
      <c r="R13" s="160"/>
      <c r="S13" s="160"/>
      <c r="T13" s="160" t="s">
        <v>19</v>
      </c>
      <c r="U13" s="161" t="s">
        <v>179</v>
      </c>
    </row>
    <row r="14" spans="1:21">
      <c r="B14" s="61">
        <v>0.33333333333333331</v>
      </c>
      <c r="C14" s="62">
        <v>10</v>
      </c>
      <c r="D14" s="63">
        <f>(13000/26)/8</f>
        <v>62.5</v>
      </c>
      <c r="E14" s="142"/>
      <c r="F14" s="142"/>
      <c r="G14" s="64">
        <f>(D14*25%)+D14</f>
        <v>78.125</v>
      </c>
      <c r="H14" s="65">
        <v>105</v>
      </c>
      <c r="I14" s="95"/>
      <c r="L14" s="57"/>
      <c r="M14" s="57"/>
      <c r="N14" s="95"/>
      <c r="O14" s="61">
        <v>0.375</v>
      </c>
      <c r="P14" s="62">
        <v>3</v>
      </c>
      <c r="Q14" s="63">
        <f>(16082.56/26)/8</f>
        <v>77.319999999999993</v>
      </c>
      <c r="R14" s="142"/>
      <c r="S14" s="142"/>
      <c r="T14" s="64">
        <f>(Q14*25%)+Q14</f>
        <v>96.649999999999991</v>
      </c>
      <c r="U14" s="65">
        <v>99</v>
      </c>
    </row>
    <row r="15" spans="1:21">
      <c r="N15" s="96"/>
    </row>
    <row r="16" spans="1:21" ht="23.25">
      <c r="B16" s="66"/>
      <c r="C16" s="67" t="s">
        <v>20</v>
      </c>
      <c r="D16" s="67" t="s">
        <v>12</v>
      </c>
      <c r="E16" s="67"/>
      <c r="F16" s="67"/>
      <c r="G16" s="67" t="s">
        <v>21</v>
      </c>
      <c r="H16" s="67" t="s">
        <v>22</v>
      </c>
      <c r="I16" s="68" t="s">
        <v>23</v>
      </c>
      <c r="J16" s="68" t="s">
        <v>24</v>
      </c>
      <c r="K16" s="68" t="s">
        <v>25</v>
      </c>
      <c r="L16" s="67" t="s">
        <v>180</v>
      </c>
      <c r="M16" s="134" t="s">
        <v>181</v>
      </c>
      <c r="N16" s="67" t="s">
        <v>26</v>
      </c>
    </row>
    <row r="17" spans="2:34">
      <c r="B17" s="432">
        <v>1</v>
      </c>
      <c r="C17" s="429">
        <f>DATE($B$11,MATCH($C$11,Data!$B$2:$B$13,0),RUIZ!$D$11)</f>
        <v>46276</v>
      </c>
      <c r="D17" s="430">
        <f>DATE($B$11,MATCH($C$11,Data!$B$2:$B$13,0),RUIZ!$D$11)</f>
        <v>46276</v>
      </c>
      <c r="E17" s="424">
        <v>0.33333333333333331</v>
      </c>
      <c r="F17" s="424">
        <v>0</v>
      </c>
      <c r="G17" s="424">
        <f t="shared" ref="G17:G28" si="0">E17-F17</f>
        <v>0.33333333333333331</v>
      </c>
      <c r="H17" s="424">
        <v>0.75</v>
      </c>
      <c r="I17" s="425">
        <v>1</v>
      </c>
      <c r="J17" s="425">
        <f t="shared" ref="J17:J28" si="1">IFERROR(IF(AND(G17&lt;&gt;"",H17&lt;&gt;""),IF(G17&gt;$B$14+TIME($C$14,($C$14-INT($C$14))*60,0),0,IF(H17&gt;$B$14+TIME($C$14,($C$14-INT($C$14))*60,0),MIN(TIME($C$14,($C$14-INT($C$14))*60,0),($B$14+TIME($C$14,($C$14-INT($C$14))*60,0)-G17)),MIN(IF((H17-$B$14)&lt;0,0,(H17-$B$14)),(H17-G17))))*24,"")-I17,"")</f>
        <v>9</v>
      </c>
      <c r="K17" s="425">
        <v>1</v>
      </c>
      <c r="L17" s="426">
        <f>E17-B14</f>
        <v>0</v>
      </c>
      <c r="M17" s="423">
        <f>(D14/60)*0</f>
        <v>0</v>
      </c>
      <c r="N17" s="427">
        <f>IFERROR(J17*IF(AND(ISNUMBER(SEARCH(TEXT(C17,"ddd"),$G$11)),Data!$F$2),$G$14,$D$14)+K17*$G$14,"")</f>
        <v>640.625</v>
      </c>
      <c r="O17" s="141">
        <f t="shared" ref="O17:O30" si="2">M17+N17</f>
        <v>640.625</v>
      </c>
      <c r="P17" s="100"/>
      <c r="Q17" s="89"/>
    </row>
    <row r="18" spans="2:34">
      <c r="B18" s="432">
        <v>2</v>
      </c>
      <c r="C18" s="429">
        <f t="shared" ref="C18:D31" si="3">C17+1</f>
        <v>46277</v>
      </c>
      <c r="D18" s="430">
        <f t="shared" si="3"/>
        <v>46277</v>
      </c>
      <c r="E18" s="424">
        <v>0.37708333333333333</v>
      </c>
      <c r="F18" s="424">
        <v>0</v>
      </c>
      <c r="G18" s="424">
        <f t="shared" si="0"/>
        <v>0.37708333333333333</v>
      </c>
      <c r="H18" s="424">
        <v>0.5</v>
      </c>
      <c r="I18" s="425">
        <v>0</v>
      </c>
      <c r="J18" s="425">
        <f t="shared" si="1"/>
        <v>2.95</v>
      </c>
      <c r="K18" s="425">
        <v>4</v>
      </c>
      <c r="L18" s="426">
        <f>E18-B14</f>
        <v>4.3750000000000011E-2</v>
      </c>
      <c r="M18" s="423">
        <f>(D14/60)*3</f>
        <v>3.125</v>
      </c>
      <c r="N18" s="427">
        <f>IFERROR(J18*IF(AND(ISNUMBER(SEARCH(TEXT(C18,"ddd"),$G$11)),Data!$F$2),$G$14,$D$14)+K18*$G$14,"")</f>
        <v>496.875</v>
      </c>
      <c r="O18" s="141">
        <f t="shared" si="2"/>
        <v>500</v>
      </c>
      <c r="P18" s="89"/>
      <c r="Q18" s="89"/>
    </row>
    <row r="19" spans="2:34">
      <c r="B19" s="432"/>
      <c r="C19" s="429">
        <f t="shared" si="3"/>
        <v>46278</v>
      </c>
      <c r="D19" s="430">
        <f t="shared" si="3"/>
        <v>46278</v>
      </c>
      <c r="E19" s="424">
        <v>0</v>
      </c>
      <c r="F19" s="424">
        <v>0</v>
      </c>
      <c r="G19" s="424">
        <f t="shared" si="0"/>
        <v>0</v>
      </c>
      <c r="H19" s="424">
        <v>0</v>
      </c>
      <c r="I19" s="425">
        <v>0</v>
      </c>
      <c r="J19" s="425">
        <f t="shared" si="1"/>
        <v>0</v>
      </c>
      <c r="K19" s="425">
        <f t="shared" ref="K19:K28" si="4">IF(AND(G19&lt;&gt;"",H19&lt;&gt;""),((IF(G19&lt;$B$14,MIN($B$14-G19,H19-G19),0)+IF(H19&gt;$B$14+TIME($C$14,($C$14-INT($C$14))*60,0),MIN((H19-$B$14-TIME($C$14,($C$14-INT($C$14))*60,0)),(H19-G19)),0))*24),"")</f>
        <v>0</v>
      </c>
      <c r="L19" s="97">
        <v>0</v>
      </c>
      <c r="M19" s="98">
        <f>(D14/60)*0</f>
        <v>0</v>
      </c>
      <c r="N19" s="251">
        <f>IFERROR(J19*IF(AND(ISNUMBER(SEARCH(TEXT(C19,"ddd"),$G$11)),Data!$F$2),$G$14,$D$14)+K19*$G$14,"")</f>
        <v>0</v>
      </c>
      <c r="O19" s="141">
        <f t="shared" si="2"/>
        <v>0</v>
      </c>
      <c r="P19" s="100"/>
      <c r="Q19" s="104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</row>
    <row r="20" spans="2:34">
      <c r="B20" s="432">
        <v>3</v>
      </c>
      <c r="C20" s="429">
        <f t="shared" si="3"/>
        <v>46279</v>
      </c>
      <c r="D20" s="430">
        <f t="shared" si="3"/>
        <v>46279</v>
      </c>
      <c r="E20" s="424">
        <v>0.33333333333333331</v>
      </c>
      <c r="F20" s="424">
        <v>0</v>
      </c>
      <c r="G20" s="424">
        <f t="shared" si="0"/>
        <v>0.33333333333333331</v>
      </c>
      <c r="H20" s="424">
        <v>0.75</v>
      </c>
      <c r="I20" s="425">
        <v>1</v>
      </c>
      <c r="J20" s="425">
        <f t="shared" si="1"/>
        <v>9</v>
      </c>
      <c r="K20" s="425">
        <f t="shared" si="4"/>
        <v>0</v>
      </c>
      <c r="L20" s="426">
        <f>E20-B14</f>
        <v>0</v>
      </c>
      <c r="M20" s="423">
        <f>(D14/60)*0</f>
        <v>0</v>
      </c>
      <c r="N20" s="427">
        <f>IFERROR(J20*IF(AND(ISNUMBER(SEARCH(TEXT(C20,"ddd"),$G$11)),Data!$F$2),$G$14,$D$14)+K20*$G$14,"")</f>
        <v>562.5</v>
      </c>
      <c r="O20" s="141">
        <f t="shared" si="2"/>
        <v>562.5</v>
      </c>
      <c r="P20" s="103"/>
      <c r="Q20" s="103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28"/>
    </row>
    <row r="21" spans="2:34">
      <c r="B21" s="432">
        <v>4</v>
      </c>
      <c r="C21" s="429">
        <f t="shared" si="3"/>
        <v>46280</v>
      </c>
      <c r="D21" s="430">
        <f t="shared" si="3"/>
        <v>46280</v>
      </c>
      <c r="E21" s="424">
        <v>0.33333333333333331</v>
      </c>
      <c r="F21" s="424">
        <v>0</v>
      </c>
      <c r="G21" s="424">
        <f t="shared" si="0"/>
        <v>0.33333333333333331</v>
      </c>
      <c r="H21" s="424">
        <v>0.75</v>
      </c>
      <c r="I21" s="425">
        <v>1</v>
      </c>
      <c r="J21" s="425">
        <f t="shared" si="1"/>
        <v>9</v>
      </c>
      <c r="K21" s="425">
        <f t="shared" si="4"/>
        <v>0</v>
      </c>
      <c r="L21" s="426">
        <v>0</v>
      </c>
      <c r="M21" s="423">
        <f>(D14/60)*0</f>
        <v>0</v>
      </c>
      <c r="N21" s="427">
        <f>IFERROR(J21*IF(AND(ISNUMBER(SEARCH(TEXT(C21,"ddd"),$G$11)),Data!$F$2),$G$14,$D$14)+K21*$G$14,"")</f>
        <v>562.5</v>
      </c>
      <c r="O21" s="141">
        <f t="shared" si="2"/>
        <v>562.5</v>
      </c>
      <c r="P21" s="162"/>
      <c r="Q21" s="108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4"/>
    </row>
    <row r="22" spans="2:34">
      <c r="B22" s="432">
        <v>5</v>
      </c>
      <c r="C22" s="429">
        <f t="shared" si="3"/>
        <v>46281</v>
      </c>
      <c r="D22" s="430">
        <f t="shared" si="3"/>
        <v>46281</v>
      </c>
      <c r="E22" s="424">
        <v>0.33333333333333331</v>
      </c>
      <c r="F22" s="424">
        <v>0</v>
      </c>
      <c r="G22" s="424">
        <f t="shared" si="0"/>
        <v>0.33333333333333331</v>
      </c>
      <c r="H22" s="424">
        <v>0.75</v>
      </c>
      <c r="I22" s="425">
        <v>1</v>
      </c>
      <c r="J22" s="425">
        <f t="shared" si="1"/>
        <v>9</v>
      </c>
      <c r="K22" s="425">
        <f t="shared" si="4"/>
        <v>0</v>
      </c>
      <c r="L22" s="426">
        <v>0</v>
      </c>
      <c r="M22" s="423">
        <f>(D14/60)*0</f>
        <v>0</v>
      </c>
      <c r="N22" s="427">
        <f>IFERROR(J22*IF(AND(ISNUMBER(SEARCH(TEXT(C22,"ddd"),$G$11)),Data!$F$2),$G$14,$D$14)+K22*$G$14,"")</f>
        <v>562.5</v>
      </c>
      <c r="O22" s="141">
        <f t="shared" si="2"/>
        <v>562.5</v>
      </c>
      <c r="P22" s="163">
        <f>O21-O22</f>
        <v>0</v>
      </c>
      <c r="Q22" s="135"/>
      <c r="R22" s="96">
        <v>0.40486111111111101</v>
      </c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4"/>
    </row>
    <row r="23" spans="2:34">
      <c r="B23" s="432">
        <v>6</v>
      </c>
      <c r="C23" s="429">
        <f t="shared" si="3"/>
        <v>46282</v>
      </c>
      <c r="D23" s="430">
        <f t="shared" si="3"/>
        <v>46282</v>
      </c>
      <c r="E23" s="424">
        <v>0.33333333333333331</v>
      </c>
      <c r="F23" s="424">
        <v>0</v>
      </c>
      <c r="G23" s="424">
        <f t="shared" si="0"/>
        <v>0.33333333333333331</v>
      </c>
      <c r="H23" s="424">
        <v>0.75</v>
      </c>
      <c r="I23" s="425">
        <v>1</v>
      </c>
      <c r="J23" s="425">
        <f t="shared" si="1"/>
        <v>9</v>
      </c>
      <c r="K23" s="425">
        <f t="shared" si="4"/>
        <v>0</v>
      </c>
      <c r="L23" s="426">
        <f>E23-B14</f>
        <v>0</v>
      </c>
      <c r="M23" s="423">
        <f>(D14/60)*0</f>
        <v>0</v>
      </c>
      <c r="N23" s="427">
        <f>IFERROR(J23*IF(AND(ISNUMBER(SEARCH(TEXT(C23,"ddd"),$G$11)),Data!$F$2),$G$14,$D$14)+K23*$G$14,"")</f>
        <v>562.5</v>
      </c>
      <c r="O23" s="141">
        <f t="shared" si="2"/>
        <v>562.5</v>
      </c>
      <c r="P23" s="150"/>
      <c r="Q23" s="89"/>
      <c r="R23" s="96">
        <v>1.0416666666666701E-2</v>
      </c>
    </row>
    <row r="24" spans="2:34">
      <c r="B24" s="432">
        <v>7</v>
      </c>
      <c r="C24" s="429">
        <f t="shared" si="3"/>
        <v>46283</v>
      </c>
      <c r="D24" s="430">
        <f t="shared" si="3"/>
        <v>46283</v>
      </c>
      <c r="E24" s="424">
        <v>0.33333333333333331</v>
      </c>
      <c r="F24" s="424">
        <v>0</v>
      </c>
      <c r="G24" s="424">
        <f t="shared" si="0"/>
        <v>0.33333333333333331</v>
      </c>
      <c r="H24" s="424">
        <v>0.75</v>
      </c>
      <c r="I24" s="425">
        <v>1</v>
      </c>
      <c r="J24" s="425">
        <f t="shared" si="1"/>
        <v>9</v>
      </c>
      <c r="K24" s="425">
        <f t="shared" si="4"/>
        <v>0</v>
      </c>
      <c r="L24" s="426">
        <f>E24-B14</f>
        <v>0</v>
      </c>
      <c r="M24" s="423">
        <f>(D14/60)*0</f>
        <v>0</v>
      </c>
      <c r="N24" s="427">
        <f>IFERROR(J24*IF(AND(ISNUMBER(SEARCH(TEXT(C24,"ddd"),$G$11)),Data!$F$2),$G$14,$D$14)+K24*$G$14,"")</f>
        <v>562.5</v>
      </c>
      <c r="O24" s="141">
        <f t="shared" si="2"/>
        <v>562.5</v>
      </c>
      <c r="P24" s="155"/>
      <c r="Q24" s="89"/>
      <c r="R24" s="129">
        <f>R22-R23</f>
        <v>0.39444444444444432</v>
      </c>
    </row>
    <row r="25" spans="2:34">
      <c r="B25" s="432">
        <v>8</v>
      </c>
      <c r="C25" s="429">
        <f t="shared" si="3"/>
        <v>46284</v>
      </c>
      <c r="D25" s="430">
        <f t="shared" si="3"/>
        <v>46284</v>
      </c>
      <c r="E25" s="424">
        <v>0.375</v>
      </c>
      <c r="F25" s="424">
        <v>0</v>
      </c>
      <c r="G25" s="424">
        <f t="shared" si="0"/>
        <v>0.375</v>
      </c>
      <c r="H25" s="424">
        <v>0.5</v>
      </c>
      <c r="I25" s="425">
        <v>0</v>
      </c>
      <c r="J25" s="425">
        <f t="shared" si="1"/>
        <v>3</v>
      </c>
      <c r="K25" s="425">
        <f t="shared" si="4"/>
        <v>0</v>
      </c>
      <c r="L25" s="426">
        <f>E25-B14</f>
        <v>4.1666666666666685E-2</v>
      </c>
      <c r="M25" s="423">
        <f>(D14/60)*0</f>
        <v>0</v>
      </c>
      <c r="N25" s="427">
        <f>IFERROR(J25*IF(AND(ISNUMBER(SEARCH(TEXT(C25,"ddd"),$G$11)),Data!$F$2),$G$14,$D$14)+K25*$G$14,"")</f>
        <v>187.5</v>
      </c>
      <c r="O25" s="141">
        <f t="shared" si="2"/>
        <v>187.5</v>
      </c>
      <c r="P25" s="89"/>
      <c r="Q25" s="89"/>
    </row>
    <row r="26" spans="2:34">
      <c r="B26" s="432"/>
      <c r="C26" s="429">
        <f t="shared" si="3"/>
        <v>46285</v>
      </c>
      <c r="D26" s="430">
        <f t="shared" si="3"/>
        <v>46285</v>
      </c>
      <c r="E26" s="424">
        <v>0</v>
      </c>
      <c r="F26" s="424">
        <v>0</v>
      </c>
      <c r="G26" s="424">
        <f t="shared" si="0"/>
        <v>0</v>
      </c>
      <c r="H26" s="424">
        <v>0</v>
      </c>
      <c r="I26" s="425">
        <v>0</v>
      </c>
      <c r="J26" s="425">
        <f t="shared" si="1"/>
        <v>0</v>
      </c>
      <c r="K26" s="425">
        <f t="shared" si="4"/>
        <v>0</v>
      </c>
      <c r="L26" s="97">
        <v>0</v>
      </c>
      <c r="M26" s="98">
        <f>(D14/60)*0</f>
        <v>0</v>
      </c>
      <c r="N26" s="251">
        <f>IFERROR(J26*IF(AND(ISNUMBER(SEARCH(TEXT(C26,"ddd"),$G$11)),Data!$F$2),$G$14,$D$14)+K26*$G$14,"")</f>
        <v>0</v>
      </c>
      <c r="O26" s="141">
        <f t="shared" si="2"/>
        <v>0</v>
      </c>
      <c r="P26" s="89"/>
      <c r="Q26" s="89"/>
    </row>
    <row r="27" spans="2:34">
      <c r="B27" s="432">
        <v>9</v>
      </c>
      <c r="C27" s="429">
        <f t="shared" si="3"/>
        <v>46286</v>
      </c>
      <c r="D27" s="430">
        <f t="shared" si="3"/>
        <v>46286</v>
      </c>
      <c r="E27" s="424">
        <v>0.33333333333333331</v>
      </c>
      <c r="F27" s="424">
        <v>0</v>
      </c>
      <c r="G27" s="424">
        <f t="shared" si="0"/>
        <v>0.33333333333333331</v>
      </c>
      <c r="H27" s="424">
        <v>0.75</v>
      </c>
      <c r="I27" s="425">
        <v>1</v>
      </c>
      <c r="J27" s="425">
        <f t="shared" si="1"/>
        <v>9</v>
      </c>
      <c r="K27" s="425">
        <f t="shared" si="4"/>
        <v>0</v>
      </c>
      <c r="L27" s="426">
        <v>0</v>
      </c>
      <c r="M27" s="423">
        <f>(D14/60)*0</f>
        <v>0</v>
      </c>
      <c r="N27" s="427">
        <f>IFERROR(J27*IF(AND(ISNUMBER(SEARCH(TEXT(C27,"ddd"),$G$11)),Data!$F$2),$G$14,$D$14)+K27*$G$14,"")</f>
        <v>562.5</v>
      </c>
      <c r="O27" s="141">
        <f t="shared" si="2"/>
        <v>562.5</v>
      </c>
      <c r="P27" s="127"/>
      <c r="Q27" s="89"/>
    </row>
    <row r="28" spans="2:34">
      <c r="B28" s="432">
        <v>10</v>
      </c>
      <c r="C28" s="429">
        <f t="shared" si="3"/>
        <v>46287</v>
      </c>
      <c r="D28" s="430">
        <f t="shared" si="3"/>
        <v>46287</v>
      </c>
      <c r="E28" s="424">
        <v>0.33333333333333331</v>
      </c>
      <c r="F28" s="424">
        <v>0</v>
      </c>
      <c r="G28" s="424">
        <f t="shared" si="0"/>
        <v>0.33333333333333331</v>
      </c>
      <c r="H28" s="424">
        <v>0.75</v>
      </c>
      <c r="I28" s="425">
        <v>1</v>
      </c>
      <c r="J28" s="425">
        <f t="shared" si="1"/>
        <v>9</v>
      </c>
      <c r="K28" s="425">
        <f t="shared" si="4"/>
        <v>0</v>
      </c>
      <c r="L28" s="426">
        <v>0</v>
      </c>
      <c r="M28" s="423">
        <f>(D14/60)*0</f>
        <v>0</v>
      </c>
      <c r="N28" s="427">
        <f>IFERROR(J28*IF(AND(ISNUMBER(SEARCH(TEXT(C28,"ddd"),$G$11)),Data!$F$2),$G$14,$D$14)+K28*$G$14,"")</f>
        <v>562.5</v>
      </c>
      <c r="O28" s="141">
        <f t="shared" si="2"/>
        <v>562.5</v>
      </c>
      <c r="Q28" s="89"/>
    </row>
    <row r="29" spans="2:34">
      <c r="B29" s="432">
        <v>11</v>
      </c>
      <c r="C29" s="429">
        <f t="shared" si="3"/>
        <v>46288</v>
      </c>
      <c r="D29" s="430">
        <f t="shared" si="3"/>
        <v>46288</v>
      </c>
      <c r="E29" s="424">
        <v>0.33333333333333331</v>
      </c>
      <c r="F29" s="424">
        <v>0</v>
      </c>
      <c r="G29" s="424">
        <f t="shared" ref="G29" si="5">E29-F29</f>
        <v>0.33333333333333331</v>
      </c>
      <c r="H29" s="424">
        <v>0.75</v>
      </c>
      <c r="I29" s="425">
        <v>1</v>
      </c>
      <c r="J29" s="425">
        <f t="shared" ref="J29:J31" si="6">IFERROR(IF(AND(G29&lt;&gt;"",H29&lt;&gt;""),IF(G29&gt;$B$14+TIME($C$14,($C$14-INT($C$14))*60,0),0,IF(H29&gt;$B$14+TIME($C$14,($C$14-INT($C$14))*60,0),MIN(TIME($C$14,($C$14-INT($C$14))*60,0),($B$14+TIME($C$14,($C$14-INT($C$14))*60,0)-G29)),MIN(IF((H29-$B$14)&lt;0,0,(H29-$B$14)),(H29-G29))))*24,"")-I29,"")</f>
        <v>9</v>
      </c>
      <c r="K29" s="425">
        <v>2</v>
      </c>
      <c r="L29" s="426">
        <v>0</v>
      </c>
      <c r="M29" s="423">
        <f>(D14/60)*0</f>
        <v>0</v>
      </c>
      <c r="N29" s="427">
        <f>IFERROR(J29*IF(AND(ISNUMBER(SEARCH(TEXT(C29,"ddd"),$G$11)),Data!$F$2),$G$14,$D$14)+K29*$G$14,"")</f>
        <v>718.75</v>
      </c>
      <c r="O29" s="141">
        <f>M29+N29</f>
        <v>718.75</v>
      </c>
      <c r="P29" s="95">
        <f>O28-O29</f>
        <v>-156.25</v>
      </c>
      <c r="Q29" s="89"/>
    </row>
    <row r="30" spans="2:34">
      <c r="B30" s="432">
        <v>12</v>
      </c>
      <c r="C30" s="429">
        <f t="shared" si="3"/>
        <v>46289</v>
      </c>
      <c r="D30" s="430">
        <f t="shared" si="3"/>
        <v>46289</v>
      </c>
      <c r="E30" s="424">
        <v>0.33333333333333331</v>
      </c>
      <c r="F30" s="424">
        <v>0</v>
      </c>
      <c r="G30" s="424">
        <f>E30-F30</f>
        <v>0.33333333333333331</v>
      </c>
      <c r="H30" s="424">
        <v>0.75</v>
      </c>
      <c r="I30" s="425">
        <v>1</v>
      </c>
      <c r="J30" s="425">
        <f t="shared" si="6"/>
        <v>9</v>
      </c>
      <c r="K30" s="425">
        <v>2</v>
      </c>
      <c r="L30" s="426">
        <f>E30-B14</f>
        <v>0</v>
      </c>
      <c r="M30" s="423">
        <f>(D14/60)*0</f>
        <v>0</v>
      </c>
      <c r="N30" s="427">
        <f>IFERROR(J30*IF(AND(ISNUMBER(SEARCH(TEXT(C30,"ddd"),$G$11)),Data!$F$2),$G$14,$D$14)+K30*$G$14,"")</f>
        <v>718.75</v>
      </c>
      <c r="O30" s="141">
        <f t="shared" si="2"/>
        <v>718.75</v>
      </c>
      <c r="P30" s="127"/>
      <c r="Q30" s="89"/>
    </row>
    <row r="31" spans="2:34">
      <c r="B31" s="432">
        <v>13</v>
      </c>
      <c r="C31" s="429">
        <f t="shared" si="3"/>
        <v>46290</v>
      </c>
      <c r="D31" s="430">
        <f t="shared" si="3"/>
        <v>46290</v>
      </c>
      <c r="E31" s="424">
        <v>0.33333333333333331</v>
      </c>
      <c r="F31" s="424">
        <v>0</v>
      </c>
      <c r="G31" s="424">
        <f>E31-F31</f>
        <v>0.33333333333333331</v>
      </c>
      <c r="H31" s="424">
        <v>0.75</v>
      </c>
      <c r="I31" s="425">
        <v>1</v>
      </c>
      <c r="J31" s="425">
        <f t="shared" si="6"/>
        <v>9</v>
      </c>
      <c r="K31" s="425">
        <v>4</v>
      </c>
      <c r="L31" s="426">
        <f>E31-B14</f>
        <v>0</v>
      </c>
      <c r="M31" s="423">
        <f>(D14/60)*0</f>
        <v>0</v>
      </c>
      <c r="N31" s="427">
        <f>IFERROR(J31*IF(AND(ISNUMBER(SEARCH(TEXT(C31,"ddd"),$G$11)),Data!$F$2),$G$14,$D$14)+K31*$G$14,"")</f>
        <v>875</v>
      </c>
      <c r="O31" s="141">
        <f>M31+N31</f>
        <v>875</v>
      </c>
      <c r="P31" s="95">
        <f>O28-O31</f>
        <v>-312.5</v>
      </c>
    </row>
    <row r="32" spans="2:34">
      <c r="B32" s="441"/>
      <c r="C32" s="442"/>
      <c r="D32" s="443"/>
      <c r="E32" s="444"/>
      <c r="F32" s="444"/>
      <c r="G32" s="593" t="s">
        <v>182</v>
      </c>
      <c r="H32" s="594"/>
      <c r="I32" s="445">
        <f>SUM(I17:I31)</f>
        <v>11</v>
      </c>
      <c r="J32" s="445">
        <f>SUM(J17:J31)</f>
        <v>104.95</v>
      </c>
      <c r="K32" s="445">
        <f>SUM(K17:K31)</f>
        <v>13</v>
      </c>
      <c r="L32" s="445">
        <f>SUM(L17:L31)</f>
        <v>8.5416666666666696E-2</v>
      </c>
      <c r="M32" s="445">
        <f>SUM(M17:M31)</f>
        <v>3.125</v>
      </c>
      <c r="N32" s="441"/>
      <c r="O32" s="165">
        <f>SUM(O17:O31)</f>
        <v>7578.125</v>
      </c>
      <c r="P32" s="165">
        <f>SUM(P17:P31)</f>
        <v>-468.75</v>
      </c>
      <c r="Q32" s="95">
        <f>O32+P32</f>
        <v>7109.375</v>
      </c>
    </row>
    <row r="33" spans="2:17">
      <c r="B33" s="66"/>
      <c r="C33" s="76"/>
      <c r="D33" s="77"/>
      <c r="E33" s="144"/>
      <c r="F33" s="144"/>
      <c r="G33" s="81" t="s">
        <v>39</v>
      </c>
      <c r="H33" s="82"/>
      <c r="I33" s="83"/>
      <c r="J33" s="84"/>
      <c r="K33" s="116"/>
      <c r="L33" s="102">
        <f>(D14/60)*0</f>
        <v>0</v>
      </c>
      <c r="M33" s="118"/>
      <c r="N33" s="166">
        <f>D14*H14</f>
        <v>6562.5</v>
      </c>
      <c r="O33" s="95"/>
      <c r="P33" s="95"/>
      <c r="Q33" s="95"/>
    </row>
    <row r="34" spans="2:17">
      <c r="B34" s="65"/>
      <c r="C34" s="65"/>
      <c r="D34" s="85"/>
      <c r="E34" s="85"/>
      <c r="F34" s="85"/>
      <c r="G34" s="592" t="s">
        <v>183</v>
      </c>
      <c r="H34" s="592"/>
      <c r="I34" s="80"/>
      <c r="J34" s="80">
        <f>H14-J32</f>
        <v>4.9999999999997158E-2</v>
      </c>
      <c r="K34" s="65"/>
      <c r="L34" s="120"/>
      <c r="M34" s="65"/>
      <c r="N34" s="121">
        <f>M32</f>
        <v>3.125</v>
      </c>
      <c r="O34" s="151">
        <f>O32-O33</f>
        <v>7578.125</v>
      </c>
      <c r="P34" s="95"/>
      <c r="Q34" s="95"/>
    </row>
    <row r="35" spans="2:17">
      <c r="B35" s="65"/>
      <c r="C35" s="65"/>
      <c r="D35" s="85"/>
      <c r="E35" s="145"/>
      <c r="F35" s="145"/>
      <c r="G35" s="78" t="s">
        <v>41</v>
      </c>
      <c r="H35" s="79"/>
      <c r="I35" s="66"/>
      <c r="J35" s="66"/>
      <c r="K35" s="80"/>
      <c r="L35" s="80"/>
      <c r="M35" s="80"/>
      <c r="N35" s="121">
        <f>N33-N34</f>
        <v>6559.375</v>
      </c>
      <c r="O35" s="95"/>
      <c r="P35" s="95"/>
      <c r="Q35" s="95"/>
    </row>
    <row r="36" spans="2:17">
      <c r="B36" s="65"/>
      <c r="C36" s="65"/>
      <c r="D36" s="85"/>
      <c r="E36" s="146"/>
      <c r="F36" s="146"/>
      <c r="G36" s="604" t="s">
        <v>184</v>
      </c>
      <c r="H36" s="605"/>
      <c r="I36" s="80"/>
      <c r="J36" s="401"/>
      <c r="K36" s="122"/>
      <c r="L36" s="122"/>
      <c r="M36" s="122"/>
      <c r="N36" s="123">
        <f>K32*G14</f>
        <v>1015.625</v>
      </c>
      <c r="O36" s="95"/>
    </row>
    <row r="37" spans="2:17">
      <c r="B37" s="65"/>
      <c r="C37" s="65"/>
      <c r="D37" s="85"/>
      <c r="E37" s="146"/>
      <c r="F37" s="146"/>
      <c r="G37" s="86" t="s">
        <v>185</v>
      </c>
      <c r="H37" s="87"/>
      <c r="I37" s="80"/>
      <c r="J37" s="66"/>
      <c r="K37" s="122"/>
      <c r="L37" s="122"/>
      <c r="M37" s="122"/>
      <c r="N37" s="123">
        <f>N53</f>
        <v>0</v>
      </c>
      <c r="O37" s="95"/>
    </row>
    <row r="38" spans="2:17">
      <c r="B38" s="65"/>
      <c r="C38" s="65"/>
      <c r="D38" s="85"/>
      <c r="E38" s="145"/>
      <c r="F38" s="145"/>
      <c r="G38" s="597" t="s">
        <v>186</v>
      </c>
      <c r="H38" s="598"/>
      <c r="I38" s="66"/>
      <c r="J38" s="66"/>
      <c r="K38" s="66"/>
      <c r="L38" s="66"/>
      <c r="M38" s="66"/>
      <c r="N38" s="124">
        <f>N35+N36+N37</f>
        <v>7575</v>
      </c>
      <c r="O38" s="95"/>
    </row>
    <row r="39" spans="2:17">
      <c r="D39" s="88"/>
      <c r="E39" s="88"/>
      <c r="F39" s="88"/>
      <c r="G39" s="589"/>
      <c r="H39" s="589"/>
      <c r="I39" s="90"/>
      <c r="J39" s="90"/>
      <c r="K39" s="125"/>
      <c r="L39" s="125"/>
      <c r="M39" s="125"/>
      <c r="N39" s="126"/>
      <c r="O39" s="127"/>
    </row>
    <row r="40" spans="2:17">
      <c r="D40" s="91"/>
      <c r="E40" s="91"/>
      <c r="F40" s="91"/>
      <c r="M40" t="s">
        <v>196</v>
      </c>
    </row>
    <row r="41" spans="2:17">
      <c r="B41" s="590" t="s">
        <v>187</v>
      </c>
      <c r="C41" s="590"/>
      <c r="D41" s="590"/>
      <c r="E41" s="590"/>
      <c r="F41" s="590"/>
      <c r="G41" s="590"/>
      <c r="H41" s="590"/>
      <c r="I41" s="590"/>
      <c r="J41" s="590"/>
      <c r="K41" s="590"/>
      <c r="L41" s="590"/>
      <c r="M41" s="590"/>
      <c r="N41" s="590"/>
    </row>
    <row r="42" spans="2:17">
      <c r="D42" s="91"/>
      <c r="E42" s="91"/>
      <c r="F42" s="91"/>
    </row>
    <row r="43" spans="2:17">
      <c r="D43" s="91" t="s">
        <v>188</v>
      </c>
      <c r="E43" s="91"/>
      <c r="F43" s="91"/>
      <c r="N43" s="95"/>
    </row>
    <row r="44" spans="2:17">
      <c r="D44" s="54" t="s">
        <v>10</v>
      </c>
      <c r="E44" s="54"/>
      <c r="F44" s="54"/>
      <c r="G44" s="54" t="s">
        <v>11</v>
      </c>
      <c r="H44" s="54" t="s">
        <v>12</v>
      </c>
      <c r="I44" s="55" t="s">
        <v>13</v>
      </c>
    </row>
    <row r="45" spans="2:17">
      <c r="D45" s="56">
        <v>2026</v>
      </c>
      <c r="E45" s="56"/>
      <c r="F45" s="56"/>
      <c r="G45" s="56" t="s">
        <v>204</v>
      </c>
      <c r="H45" s="56">
        <v>12</v>
      </c>
      <c r="I45" s="56" t="s">
        <v>15</v>
      </c>
    </row>
    <row r="46" spans="2:17">
      <c r="D46" s="57"/>
      <c r="E46" s="57"/>
      <c r="F46" s="57"/>
      <c r="G46" s="57"/>
    </row>
    <row r="47" spans="2:17" ht="33.75">
      <c r="D47" s="159" t="s">
        <v>16</v>
      </c>
      <c r="E47" s="159"/>
      <c r="F47" s="159"/>
      <c r="G47" s="159" t="s">
        <v>17</v>
      </c>
      <c r="H47" s="159" t="s">
        <v>18</v>
      </c>
      <c r="I47" s="159" t="s">
        <v>19</v>
      </c>
    </row>
    <row r="48" spans="2:17">
      <c r="D48" s="61">
        <v>0.33333333333333298</v>
      </c>
      <c r="E48" s="61"/>
      <c r="F48" s="61"/>
      <c r="G48" s="62">
        <v>10</v>
      </c>
      <c r="H48" s="63">
        <f>D14</f>
        <v>62.5</v>
      </c>
      <c r="I48" s="130">
        <f>(H48*30%)+H48</f>
        <v>81.25</v>
      </c>
    </row>
    <row r="50" spans="3:14">
      <c r="C50" s="131" t="s">
        <v>20</v>
      </c>
      <c r="D50" s="131" t="s">
        <v>12</v>
      </c>
      <c r="E50" s="131"/>
      <c r="F50" s="131"/>
      <c r="G50" s="131" t="s">
        <v>21</v>
      </c>
      <c r="H50" s="131" t="s">
        <v>22</v>
      </c>
      <c r="I50" s="131" t="s">
        <v>23</v>
      </c>
      <c r="J50" s="131" t="s">
        <v>24</v>
      </c>
      <c r="K50" s="131" t="s">
        <v>25</v>
      </c>
      <c r="L50" s="131"/>
      <c r="M50" s="131"/>
      <c r="N50" s="131" t="s">
        <v>26</v>
      </c>
    </row>
    <row r="51" spans="3:14">
      <c r="C51" s="70" t="s">
        <v>353</v>
      </c>
      <c r="D51" s="71">
        <v>12</v>
      </c>
      <c r="E51" s="71"/>
      <c r="F51" s="71"/>
      <c r="G51" s="72">
        <v>0.33333333333333331</v>
      </c>
      <c r="H51" s="72">
        <v>0.75</v>
      </c>
      <c r="I51" s="73">
        <v>1</v>
      </c>
      <c r="J51" s="73">
        <f>IFERROR(IF(AND(G51&lt;&gt;"",H51&lt;&gt;""),IF(G51&gt;$B$14+TIME($C$14,($C$14-INT($C$14))*60,0),0,IF(H51&gt;$B$14+TIME($C$14,($C$14-INT($C$14))*60,0),MIN(TIME($C$14,($C$14-INT($C$14))*60,0),($B$14+TIME($C$14,($C$14-INT($C$14))*60,0)-G51)),MIN(IF((H51-$B$14)&lt;0,0,(H51-$B$14)),(H51-G51))))*24,"")-I51,"")</f>
        <v>9</v>
      </c>
      <c r="K51" s="73">
        <f>IF(AND(G51&lt;&gt;"",H51&lt;&gt;""),((IF(G51&lt;$D$48,MIN($D$48-G51,H51-G51),0)+IF(H51&gt;$D$48+TIME($G$48,($G$48-INT($G$48))*60,0),MIN((H51-$D$48-TIME($G$48,($G$48-INT($G$48))*60,0)),(H51-G51)),0))*24),"")</f>
        <v>0</v>
      </c>
      <c r="L51" s="73"/>
      <c r="M51" s="73"/>
      <c r="N51" s="99">
        <v>0</v>
      </c>
    </row>
    <row r="52" spans="3:14">
      <c r="C52" s="70" t="s">
        <v>445</v>
      </c>
      <c r="D52" s="71">
        <v>23</v>
      </c>
      <c r="E52" s="71"/>
      <c r="F52" s="71"/>
      <c r="G52" s="72">
        <v>0.33333333333333331</v>
      </c>
      <c r="H52" s="72">
        <v>0.75</v>
      </c>
      <c r="I52" s="73">
        <v>1</v>
      </c>
      <c r="J52" s="73">
        <f>IFERROR(IF(AND(G52&lt;&gt;"",H52&lt;&gt;""),IF(G52&gt;$B$14+TIME($C$14,($C$14-INT($C$14))*60,0),0,IF(H52&gt;$B$14+TIME($C$14,($C$14-INT($C$14))*60,0),MIN(TIME($C$14,($C$14-INT($C$14))*60,0),($B$14+TIME($C$14,($C$14-INT($C$14))*60,0)-G52)),MIN(IF((H52-$B$14)&lt;0,0,(H52-$B$14)),(H52-G52))))*24,"")-I52,"")</f>
        <v>9</v>
      </c>
      <c r="K52" s="73">
        <f>IF(AND(G52&lt;&gt;"",H52&lt;&gt;""),((IF(G52&lt;$D$48,MIN($D$48-G52,H52-G52),0)+IF(H52&gt;$D$48+TIME($G$48,($G$48-INT($G$48))*60,0),MIN((H52-$D$48-TIME($G$48,($G$48-INT($G$48))*60,0)),(H52-G52)),0))*24),"")</f>
        <v>0</v>
      </c>
      <c r="L52" s="73"/>
      <c r="M52" s="73"/>
      <c r="N52" s="99">
        <v>0</v>
      </c>
    </row>
    <row r="53" spans="3:14"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318">
        <f>SUM(N51:N52)</f>
        <v>0</v>
      </c>
    </row>
    <row r="54" spans="3:14">
      <c r="N54" s="324"/>
    </row>
    <row r="55" spans="3:14">
      <c r="N55" s="324"/>
    </row>
    <row r="56" spans="3:14">
      <c r="N56" s="138"/>
    </row>
    <row r="57" spans="3:14">
      <c r="D57" s="591">
        <v>44981</v>
      </c>
      <c r="E57" s="591"/>
      <c r="F57" s="591"/>
      <c r="G57" s="88">
        <v>562.5</v>
      </c>
      <c r="H57" s="148" t="s">
        <v>280</v>
      </c>
      <c r="I57" s="254"/>
      <c r="N57" s="138"/>
    </row>
    <row r="58" spans="3:14">
      <c r="E58" s="88"/>
      <c r="F58" s="88"/>
      <c r="G58" s="88">
        <f>G57*H58</f>
        <v>168.75</v>
      </c>
      <c r="H58" s="253">
        <v>0.3</v>
      </c>
      <c r="I58" s="254"/>
      <c r="N58" s="138"/>
    </row>
    <row r="59" spans="3:14">
      <c r="E59" s="91"/>
      <c r="F59" s="91"/>
      <c r="G59" s="91"/>
      <c r="N59" s="138"/>
    </row>
    <row r="60" spans="3:14">
      <c r="E60" s="91"/>
      <c r="F60" s="91"/>
      <c r="G60" s="91"/>
      <c r="H60" s="91">
        <f>G58</f>
        <v>168.75</v>
      </c>
      <c r="N60" s="138"/>
    </row>
    <row r="61" spans="3:14">
      <c r="D61" s="132"/>
      <c r="E61" s="132"/>
      <c r="F61" s="132"/>
      <c r="G61" s="133"/>
      <c r="H61" s="133"/>
      <c r="I61" s="133"/>
      <c r="N61" s="138"/>
    </row>
    <row r="62" spans="3:14">
      <c r="D62" s="132"/>
      <c r="E62" s="132"/>
      <c r="F62" s="132"/>
      <c r="G62" s="133"/>
      <c r="H62" s="133"/>
      <c r="I62" s="133"/>
      <c r="N62" s="138"/>
    </row>
    <row r="63" spans="3:14">
      <c r="D63" s="132"/>
      <c r="E63" s="132"/>
      <c r="F63" s="132"/>
      <c r="G63" s="133"/>
      <c r="H63" s="133"/>
      <c r="I63" s="133"/>
    </row>
    <row r="64" spans="3:14">
      <c r="D64" s="132"/>
      <c r="E64" s="132"/>
      <c r="F64" s="132"/>
      <c r="G64" s="133"/>
      <c r="H64" s="133"/>
      <c r="I64" s="133"/>
    </row>
    <row r="65" spans="3:9">
      <c r="F65" s="132"/>
      <c r="G65" s="133"/>
      <c r="H65" s="133"/>
      <c r="I65" s="133"/>
    </row>
    <row r="68" spans="3:9">
      <c r="C68" s="91" t="s">
        <v>141</v>
      </c>
    </row>
    <row r="69" spans="3:9">
      <c r="C69" t="s">
        <v>66</v>
      </c>
    </row>
    <row r="70" spans="3:9">
      <c r="C70" s="91"/>
    </row>
  </sheetData>
  <mergeCells count="12">
    <mergeCell ref="D57:F57"/>
    <mergeCell ref="A6:N6"/>
    <mergeCell ref="C7:D7"/>
    <mergeCell ref="M7:O7"/>
    <mergeCell ref="C8:D8"/>
    <mergeCell ref="M8:O8"/>
    <mergeCell ref="G32:H32"/>
    <mergeCell ref="G34:H34"/>
    <mergeCell ref="G36:H36"/>
    <mergeCell ref="G38:H38"/>
    <mergeCell ref="G39:H39"/>
    <mergeCell ref="B41:N41"/>
  </mergeCells>
  <conditionalFormatting sqref="C17:D17 N17:N31">
    <cfRule type="expression" dxfId="218" priority="114">
      <formula>ISNUMBER(SEARCH(TEXT($C17,"ddd"),$G$10))</formula>
    </cfRule>
  </conditionalFormatting>
  <conditionalFormatting sqref="C18:D31">
    <cfRule type="expression" dxfId="217" priority="115">
      <formula>ISNUMBER(SEARCH(TEXT($C18,"ddd"),$G$11))</formula>
    </cfRule>
  </conditionalFormatting>
  <conditionalFormatting sqref="C51:N52">
    <cfRule type="expression" dxfId="216" priority="1">
      <formula>ISNUMBER(SEARCH(TEXT($C51,"ddd"),$G$11))</formula>
    </cfRule>
  </conditionalFormatting>
  <conditionalFormatting sqref="E17:K31">
    <cfRule type="expression" dxfId="215" priority="2">
      <formula>ISNUMBER(SEARCH(TEXT($C17,"ddd"),$G$11))</formula>
    </cfRule>
  </conditionalFormatting>
  <dataValidations count="5">
    <dataValidation type="list" allowBlank="1" showInputMessage="1" showErrorMessage="1" sqref="E11:F11" xr:uid="{00000000-0002-0000-1700-000000000000}">
      <formula1>RUIZ!DateCalc</formula1>
    </dataValidation>
    <dataValidation type="custom" allowBlank="1" showInputMessage="1" showErrorMessage="1" sqref="G51:G52 E17:G31" xr:uid="{00000000-0002-0000-1700-000001000000}">
      <formula1>AND($G17&lt;=1,ISNUMBER($G17))</formula1>
    </dataValidation>
    <dataValidation type="custom" allowBlank="1" showInputMessage="1" showErrorMessage="1" sqref="H51:H52 H17:H31" xr:uid="{00000000-0002-0000-1700-000002000000}">
      <formula1>AND($H17&lt;=1,ISNUMBER($H17),($H17&gt;=$G17))</formula1>
    </dataValidation>
    <dataValidation type="list" allowBlank="1" showInputMessage="1" showErrorMessage="1" sqref="D11 H45" xr:uid="{00000000-0002-0000-1700-000003000000}">
      <formula1>DateCalc</formula1>
    </dataValidation>
    <dataValidation type="list" allowBlank="1" showInputMessage="1" showErrorMessage="1" sqref="G11" xr:uid="{00000000-0002-0000-1700-000005000000}"/>
  </dataValidations>
  <pageMargins left="1.07083333333333" right="0.25" top="0.24645833333333333" bottom="0.29385416666666669" header="0.29861111111111099" footer="0.29861111111111099"/>
  <pageSetup paperSize="9" scale="91" orientation="landscape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98017" r:id="rId4" name="Check Box 1">
              <controlPr defaultSize="0" print="0" autoPict="0">
                <anchor moveWithCells="1">
                  <from>
                    <xdr:col>7</xdr:col>
                    <xdr:colOff>180975</xdr:colOff>
                    <xdr:row>9</xdr:row>
                    <xdr:rowOff>28575</xdr:rowOff>
                  </from>
                  <to>
                    <xdr:col>8</xdr:col>
                    <xdr:colOff>571500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700-000004000000}">
          <x14:formula1>
            <xm:f>Data!$D$2:$D$16</xm:f>
          </x14:formula1>
          <xm:sqref>I45</xm:sqref>
        </x14:dataValidation>
        <x14:dataValidation type="list" allowBlank="1" showInputMessage="1" showErrorMessage="1" xr:uid="{00000000-0002-0000-1700-000006000000}">
          <x14:formula1>
            <xm:f>Data!$B$2:$B$13</xm:f>
          </x14:formula1>
          <xm:sqref>C11 G45</xm:sqref>
        </x14:dataValidation>
        <x14:dataValidation type="list" allowBlank="1" showInputMessage="1" showErrorMessage="1" xr:uid="{00000000-0002-0000-1700-000007000000}">
          <x14:formula1>
            <xm:f>Data!$A$2:$A$15</xm:f>
          </x14:formula1>
          <xm:sqref>B11 D45:F45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5:AH72"/>
  <sheetViews>
    <sheetView showGridLines="0" showWhiteSpace="0" view="pageLayout" topLeftCell="A18" zoomScale="120" zoomScaleNormal="100" zoomScalePageLayoutView="120" workbookViewId="0">
      <selection activeCell="L35" sqref="L35"/>
    </sheetView>
  </sheetViews>
  <sheetFormatPr defaultColWidth="9" defaultRowHeight="12.75"/>
  <cols>
    <col min="1" max="1" width="1.625" customWidth="1"/>
    <col min="2" max="2" width="5.375" customWidth="1"/>
    <col min="3" max="3" width="7.125" customWidth="1"/>
    <col min="4" max="6" width="7.625" customWidth="1"/>
    <col min="7" max="7" width="10.125" customWidth="1"/>
    <col min="8" max="8" width="9.625" customWidth="1"/>
    <col min="9" max="9" width="8.125" customWidth="1"/>
    <col min="10" max="10" width="10.125" customWidth="1"/>
    <col min="11" max="11" width="7.875" customWidth="1"/>
    <col min="12" max="12" width="11.5" customWidth="1"/>
    <col min="13" max="13" width="10.625" customWidth="1"/>
    <col min="14" max="14" width="11.875" customWidth="1"/>
    <col min="15" max="15" width="16.875" customWidth="1"/>
    <col min="18" max="18" width="11.125" customWidth="1"/>
  </cols>
  <sheetData>
    <row r="5" spans="1:21" ht="25.5" customHeight="1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21" s="47" customFormat="1" ht="25.5" customHeight="1">
      <c r="A6" s="603"/>
      <c r="B6" s="603"/>
      <c r="C6" s="603"/>
      <c r="D6" s="603"/>
      <c r="E6" s="603"/>
      <c r="F6" s="603"/>
      <c r="G6" s="603"/>
      <c r="H6" s="603"/>
      <c r="I6" s="603"/>
      <c r="J6" s="603"/>
      <c r="K6" s="603"/>
      <c r="L6" s="603"/>
      <c r="M6" s="603"/>
      <c r="N6" s="603"/>
    </row>
    <row r="7" spans="1:21" ht="18.75" customHeight="1">
      <c r="C7" s="527" t="s">
        <v>3</v>
      </c>
      <c r="D7" s="527"/>
      <c r="E7" s="49"/>
      <c r="F7" s="49"/>
      <c r="G7" s="50" t="s">
        <v>140</v>
      </c>
      <c r="H7" s="51"/>
      <c r="K7" s="49" t="s">
        <v>174</v>
      </c>
      <c r="M7" s="599" t="str">
        <f>PAALAN!L7</f>
        <v>September  11-25, 2026</v>
      </c>
      <c r="N7" s="599"/>
      <c r="O7" s="599"/>
    </row>
    <row r="8" spans="1:21" ht="18.75" customHeight="1">
      <c r="C8" s="527" t="s">
        <v>175</v>
      </c>
      <c r="D8" s="527"/>
      <c r="E8" s="49"/>
      <c r="F8" s="49"/>
      <c r="G8" s="50" t="s">
        <v>208</v>
      </c>
      <c r="H8" s="51"/>
      <c r="K8" s="49" t="s">
        <v>176</v>
      </c>
      <c r="L8" s="92"/>
      <c r="M8" s="600" t="str">
        <f>PAALAN!L8</f>
        <v>9/31/2026</v>
      </c>
      <c r="N8" s="600"/>
      <c r="O8" s="600"/>
    </row>
    <row r="9" spans="1:21">
      <c r="C9" s="52"/>
      <c r="D9" s="53"/>
      <c r="E9" s="53"/>
      <c r="F9" s="53"/>
      <c r="G9" s="53"/>
    </row>
    <row r="10" spans="1:21">
      <c r="B10" s="54" t="s">
        <v>10</v>
      </c>
      <c r="C10" s="54" t="s">
        <v>11</v>
      </c>
      <c r="D10" s="54" t="s">
        <v>12</v>
      </c>
      <c r="E10" s="54"/>
      <c r="F10" s="54"/>
      <c r="G10" s="55" t="s">
        <v>13</v>
      </c>
    </row>
    <row r="11" spans="1:21">
      <c r="B11" s="56">
        <v>2026</v>
      </c>
      <c r="C11" s="56" t="s">
        <v>177</v>
      </c>
      <c r="D11" s="56">
        <v>11</v>
      </c>
      <c r="E11" s="56"/>
      <c r="F11" s="56"/>
      <c r="G11" s="56" t="s">
        <v>178</v>
      </c>
    </row>
    <row r="12" spans="1:21">
      <c r="B12" s="57"/>
      <c r="C12" s="57"/>
      <c r="H12" s="57"/>
      <c r="K12" s="57"/>
      <c r="L12" s="57"/>
      <c r="M12" s="57"/>
    </row>
    <row r="13" spans="1:21" ht="32.1" customHeight="1">
      <c r="B13" s="159" t="s">
        <v>16</v>
      </c>
      <c r="C13" s="159" t="s">
        <v>17</v>
      </c>
      <c r="D13" s="159" t="s">
        <v>18</v>
      </c>
      <c r="E13" s="160"/>
      <c r="F13" s="160"/>
      <c r="G13" s="160" t="s">
        <v>19</v>
      </c>
      <c r="H13" s="161" t="s">
        <v>179</v>
      </c>
      <c r="K13" s="57"/>
      <c r="L13" s="93"/>
      <c r="M13" s="93"/>
      <c r="N13" s="94"/>
      <c r="O13" s="159" t="s">
        <v>16</v>
      </c>
      <c r="P13" s="159" t="s">
        <v>17</v>
      </c>
      <c r="Q13" s="159" t="s">
        <v>18</v>
      </c>
      <c r="R13" s="160"/>
      <c r="S13" s="160"/>
      <c r="T13" s="160" t="s">
        <v>19</v>
      </c>
      <c r="U13" s="161" t="s">
        <v>179</v>
      </c>
    </row>
    <row r="14" spans="1:21">
      <c r="B14" s="61">
        <v>0.33333333333333331</v>
      </c>
      <c r="C14" s="62">
        <v>10</v>
      </c>
      <c r="D14" s="63">
        <f>(18040/26)/8</f>
        <v>86.730769230769226</v>
      </c>
      <c r="E14" s="142"/>
      <c r="F14" s="142"/>
      <c r="G14" s="64">
        <f>(D14*25%)+D14</f>
        <v>108.41346153846153</v>
      </c>
      <c r="H14" s="65">
        <v>104</v>
      </c>
      <c r="I14" s="95"/>
      <c r="L14" s="57"/>
      <c r="M14" s="57"/>
      <c r="N14" s="95"/>
      <c r="O14" s="61">
        <v>0.375</v>
      </c>
      <c r="P14" s="62">
        <v>3</v>
      </c>
      <c r="Q14" s="63">
        <f>(13040/26)/8</f>
        <v>62.692307692307693</v>
      </c>
      <c r="R14" s="142"/>
      <c r="S14" s="142"/>
      <c r="T14" s="64">
        <f>(Q14*25%)+Q14</f>
        <v>78.365384615384613</v>
      </c>
      <c r="U14" s="65">
        <v>105</v>
      </c>
    </row>
    <row r="15" spans="1:21">
      <c r="N15" s="96"/>
    </row>
    <row r="16" spans="1:21" ht="23.25">
      <c r="B16" s="66"/>
      <c r="C16" s="67" t="s">
        <v>20</v>
      </c>
      <c r="D16" s="67" t="s">
        <v>12</v>
      </c>
      <c r="E16" s="67"/>
      <c r="F16" s="67"/>
      <c r="G16" s="67" t="s">
        <v>21</v>
      </c>
      <c r="H16" s="67" t="s">
        <v>22</v>
      </c>
      <c r="I16" s="68" t="s">
        <v>23</v>
      </c>
      <c r="J16" s="68" t="s">
        <v>24</v>
      </c>
      <c r="K16" s="68" t="s">
        <v>25</v>
      </c>
      <c r="L16" s="67" t="s">
        <v>180</v>
      </c>
      <c r="M16" s="134" t="s">
        <v>181</v>
      </c>
      <c r="N16" s="67" t="s">
        <v>26</v>
      </c>
    </row>
    <row r="17" spans="2:34">
      <c r="B17" s="432">
        <v>1</v>
      </c>
      <c r="C17" s="429">
        <f>DATE($B$11,MATCH($C$11,Data!$B$2:$B$13,0),GAID!$D$11)</f>
        <v>46276</v>
      </c>
      <c r="D17" s="430">
        <f>DATE($B$11,MATCH($C$11,Data!$B$2:$B$13,0),GAID!$D$11)</f>
        <v>46276</v>
      </c>
      <c r="E17" s="424">
        <v>0.36666666666666664</v>
      </c>
      <c r="F17" s="424">
        <v>0</v>
      </c>
      <c r="G17" s="424">
        <f t="shared" ref="G17:G29" si="0">E17-F17</f>
        <v>0.36666666666666664</v>
      </c>
      <c r="H17" s="424">
        <v>0.75</v>
      </c>
      <c r="I17" s="425">
        <v>1</v>
      </c>
      <c r="J17" s="425">
        <f t="shared" ref="J17:J25" si="1">IFERROR(IF(AND(G17&lt;&gt;"",H17&lt;&gt;""),IF(G17&gt;$B$14+TIME($C$14,($C$14-INT($C$14))*60,0),0,IF(H17&gt;$B$14+TIME($C$14,($C$14-INT($C$14))*60,0),MIN(TIME($C$14,($C$14-INT($C$14))*60,0),($B$14+TIME($C$14,($C$14-INT($C$14))*60,0)-G17)),MIN(IF((H17-$B$14)&lt;0,0,(H17-$B$14)),(H17-G17))))*24,"")-I17,"")</f>
        <v>8.2000000000000011</v>
      </c>
      <c r="K17" s="425">
        <f t="shared" ref="K17:K23" si="2">IF(AND(G17&lt;&gt;"",H17&lt;&gt;""),((IF(G17&lt;$B$14,MIN($B$14-G17,H17-G17),0)+IF(H17&gt;$B$14+TIME($C$14,($C$14-INT($C$14))*60,0),MIN((H17-$B$14-TIME($C$14,($C$14-INT($C$14))*60,0)),(H17-G17)),0))*24),"")</f>
        <v>0</v>
      </c>
      <c r="L17" s="426">
        <f>E17-B14</f>
        <v>3.3333333333333326E-2</v>
      </c>
      <c r="M17" s="423">
        <f>(D14/60)*0</f>
        <v>0</v>
      </c>
      <c r="N17" s="427">
        <f>IFERROR(J17*IF(AND(ISNUMBER(SEARCH(TEXT(C17,"ddd"),$G$11)),Data!$F$2),$G$14,$D$14)+K17*$G$14,"")</f>
        <v>711.19230769230774</v>
      </c>
      <c r="O17" s="141">
        <f t="shared" ref="O17:O31" si="3">M17+N17</f>
        <v>711.19230769230774</v>
      </c>
      <c r="P17" s="100"/>
      <c r="Q17" s="89"/>
    </row>
    <row r="18" spans="2:34">
      <c r="B18" s="432">
        <v>2</v>
      </c>
      <c r="C18" s="429">
        <f t="shared" ref="C18:D31" si="4">C17+1</f>
        <v>46277</v>
      </c>
      <c r="D18" s="430">
        <f t="shared" si="4"/>
        <v>46277</v>
      </c>
      <c r="E18" s="424">
        <v>0.375</v>
      </c>
      <c r="F18" s="424">
        <v>0</v>
      </c>
      <c r="G18" s="424">
        <f t="shared" si="0"/>
        <v>0.375</v>
      </c>
      <c r="H18" s="424">
        <v>0.5</v>
      </c>
      <c r="I18" s="425">
        <v>0</v>
      </c>
      <c r="J18" s="425">
        <f t="shared" si="1"/>
        <v>3</v>
      </c>
      <c r="K18" s="425">
        <f t="shared" si="2"/>
        <v>0</v>
      </c>
      <c r="L18" s="426">
        <f>E18-B14</f>
        <v>4.1666666666666685E-2</v>
      </c>
      <c r="M18" s="423">
        <f>(D14/60)*0</f>
        <v>0</v>
      </c>
      <c r="N18" s="427">
        <f>IFERROR(J18*IF(AND(ISNUMBER(SEARCH(TEXT(C18,"ddd"),$G$11)),Data!$F$2),$G$14,$D$14)+K18*$G$14,"")</f>
        <v>260.19230769230768</v>
      </c>
      <c r="O18" s="141"/>
      <c r="P18" s="89"/>
      <c r="Q18" s="89"/>
    </row>
    <row r="19" spans="2:34">
      <c r="B19" s="432"/>
      <c r="C19" s="429">
        <f t="shared" si="4"/>
        <v>46278</v>
      </c>
      <c r="D19" s="430">
        <f t="shared" si="4"/>
        <v>46278</v>
      </c>
      <c r="E19" s="424">
        <v>0</v>
      </c>
      <c r="F19" s="424">
        <v>0</v>
      </c>
      <c r="G19" s="424">
        <f t="shared" si="0"/>
        <v>0</v>
      </c>
      <c r="H19" s="424">
        <v>0</v>
      </c>
      <c r="I19" s="425">
        <v>0</v>
      </c>
      <c r="J19" s="425">
        <f t="shared" si="1"/>
        <v>0</v>
      </c>
      <c r="K19" s="425">
        <f t="shared" si="2"/>
        <v>0</v>
      </c>
      <c r="L19" s="97">
        <v>0</v>
      </c>
      <c r="M19" s="98">
        <f>(D14/60)*0</f>
        <v>0</v>
      </c>
      <c r="N19" s="251">
        <f>IFERROR(J19*IF(AND(ISNUMBER(SEARCH(TEXT(C19,"ddd"),$G$11)),Data!$F$2),$G$14,$D$14)+K19*$G$14,"")</f>
        <v>0</v>
      </c>
      <c r="O19" s="141">
        <f t="shared" si="3"/>
        <v>0</v>
      </c>
      <c r="P19" s="100"/>
      <c r="Q19" s="104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</row>
    <row r="20" spans="2:34">
      <c r="B20" s="432">
        <v>3</v>
      </c>
      <c r="C20" s="429">
        <f t="shared" si="4"/>
        <v>46279</v>
      </c>
      <c r="D20" s="430">
        <f t="shared" si="4"/>
        <v>46279</v>
      </c>
      <c r="E20" s="424">
        <v>0.5</v>
      </c>
      <c r="F20" s="424">
        <v>0</v>
      </c>
      <c r="G20" s="424">
        <f t="shared" si="0"/>
        <v>0.5</v>
      </c>
      <c r="H20" s="424">
        <v>0.75</v>
      </c>
      <c r="I20" s="425">
        <v>0</v>
      </c>
      <c r="J20" s="425">
        <f t="shared" si="1"/>
        <v>6</v>
      </c>
      <c r="K20" s="425">
        <f t="shared" si="2"/>
        <v>0</v>
      </c>
      <c r="L20" s="426">
        <f>E20-B14</f>
        <v>0.16666666666666669</v>
      </c>
      <c r="M20" s="423">
        <f>(D14/60)*240</f>
        <v>346.92307692307691</v>
      </c>
      <c r="N20" s="427">
        <f>IFERROR(J20*IF(AND(ISNUMBER(SEARCH(TEXT(C20,"ddd"),$G$11)),Data!$F$2),$G$14,$D$14)+K20*$G$14,"")</f>
        <v>520.38461538461536</v>
      </c>
      <c r="O20" s="141">
        <f t="shared" si="3"/>
        <v>867.30769230769226</v>
      </c>
      <c r="P20" s="103"/>
      <c r="Q20" s="103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28"/>
    </row>
    <row r="21" spans="2:34">
      <c r="B21" s="432">
        <v>4</v>
      </c>
      <c r="C21" s="429">
        <f t="shared" si="4"/>
        <v>46280</v>
      </c>
      <c r="D21" s="430">
        <f t="shared" si="4"/>
        <v>46280</v>
      </c>
      <c r="E21" s="424">
        <v>0.37847222222222221</v>
      </c>
      <c r="F21" s="424">
        <v>0</v>
      </c>
      <c r="G21" s="424">
        <f t="shared" si="0"/>
        <v>0.37847222222222221</v>
      </c>
      <c r="H21" s="424">
        <v>0.75</v>
      </c>
      <c r="I21" s="425">
        <v>1</v>
      </c>
      <c r="J21" s="425">
        <f t="shared" si="1"/>
        <v>7.9166666666666679</v>
      </c>
      <c r="K21" s="425">
        <f t="shared" si="2"/>
        <v>0</v>
      </c>
      <c r="L21" s="426">
        <f>E21-B14</f>
        <v>4.5138888888888895E-2</v>
      </c>
      <c r="M21" s="423">
        <f>(D14/60)*0</f>
        <v>0</v>
      </c>
      <c r="N21" s="427">
        <f>IFERROR(J21*IF(AND(ISNUMBER(SEARCH(TEXT(C21,"ddd"),$G$11)),Data!$F$2),$G$14,$D$14)+K21*$G$14,"")</f>
        <v>686.61858974358984</v>
      </c>
      <c r="O21" s="141">
        <f t="shared" si="3"/>
        <v>686.61858974358984</v>
      </c>
      <c r="P21" s="162">
        <f>N21-O21</f>
        <v>0</v>
      </c>
      <c r="Q21" s="108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4"/>
    </row>
    <row r="22" spans="2:34">
      <c r="B22" s="432">
        <v>5</v>
      </c>
      <c r="C22" s="429">
        <f t="shared" si="4"/>
        <v>46281</v>
      </c>
      <c r="D22" s="430">
        <f t="shared" si="4"/>
        <v>46281</v>
      </c>
      <c r="E22" s="424">
        <v>0.35486111111111113</v>
      </c>
      <c r="F22" s="424">
        <v>0</v>
      </c>
      <c r="G22" s="424">
        <v>0</v>
      </c>
      <c r="H22" s="424">
        <v>0.75</v>
      </c>
      <c r="I22" s="425">
        <v>1</v>
      </c>
      <c r="J22" s="425">
        <f t="shared" si="1"/>
        <v>9</v>
      </c>
      <c r="K22" s="425">
        <f t="shared" si="2"/>
        <v>8</v>
      </c>
      <c r="L22" s="426">
        <f>E22-B14</f>
        <v>2.1527777777777812E-2</v>
      </c>
      <c r="M22" s="423">
        <v>0</v>
      </c>
      <c r="N22" s="427">
        <f>IFERROR(J22*IF(AND(ISNUMBER(SEARCH(TEXT(C22,"ddd"),$G$11)),Data!$F$2),$G$14,$D$14)+K22*$G$14,"")</f>
        <v>1647.8846153846152</v>
      </c>
      <c r="O22" s="141">
        <f t="shared" si="3"/>
        <v>1647.8846153846152</v>
      </c>
      <c r="P22" s="163"/>
      <c r="Q22" s="135"/>
      <c r="R22" s="96">
        <v>0.40486111111111101</v>
      </c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4"/>
    </row>
    <row r="23" spans="2:34">
      <c r="B23" s="432">
        <v>6</v>
      </c>
      <c r="C23" s="429">
        <f t="shared" si="4"/>
        <v>46282</v>
      </c>
      <c r="D23" s="430">
        <f t="shared" si="4"/>
        <v>46282</v>
      </c>
      <c r="E23" s="424">
        <v>0.35138888888888886</v>
      </c>
      <c r="F23" s="424">
        <v>0</v>
      </c>
      <c r="G23" s="424">
        <f t="shared" si="0"/>
        <v>0.35138888888888886</v>
      </c>
      <c r="H23" s="424">
        <v>0.75</v>
      </c>
      <c r="I23" s="425">
        <v>1</v>
      </c>
      <c r="J23" s="425">
        <f t="shared" si="1"/>
        <v>8.5666666666666664</v>
      </c>
      <c r="K23" s="425">
        <f t="shared" si="2"/>
        <v>0</v>
      </c>
      <c r="L23" s="426">
        <f>E23-B14</f>
        <v>1.8055555555555547E-2</v>
      </c>
      <c r="M23" s="423">
        <f>(D14/60)*0</f>
        <v>0</v>
      </c>
      <c r="N23" s="427">
        <f>IFERROR(J23*IF(AND(ISNUMBER(SEARCH(TEXT(C23,"ddd"),$G$11)),Data!$F$2),$G$14,$D$14)+K23*$G$14,"")</f>
        <v>742.99358974358972</v>
      </c>
      <c r="O23" s="141">
        <f t="shared" si="3"/>
        <v>742.99358974358972</v>
      </c>
      <c r="P23" s="150"/>
      <c r="Q23" s="89"/>
      <c r="R23" s="96">
        <v>1.0416666666666701E-2</v>
      </c>
    </row>
    <row r="24" spans="2:34">
      <c r="B24" s="432">
        <v>7</v>
      </c>
      <c r="C24" s="429">
        <f t="shared" si="4"/>
        <v>46283</v>
      </c>
      <c r="D24" s="430">
        <f t="shared" si="4"/>
        <v>46283</v>
      </c>
      <c r="E24" s="424">
        <v>0.36666666666666664</v>
      </c>
      <c r="F24" s="424">
        <v>0</v>
      </c>
      <c r="G24" s="424">
        <f t="shared" si="0"/>
        <v>0.36666666666666664</v>
      </c>
      <c r="H24" s="424">
        <v>0.75</v>
      </c>
      <c r="I24" s="425">
        <v>1</v>
      </c>
      <c r="J24" s="425">
        <f t="shared" si="1"/>
        <v>8.2000000000000011</v>
      </c>
      <c r="K24" s="425">
        <v>3</v>
      </c>
      <c r="L24" s="426">
        <f>E24-B14</f>
        <v>3.3333333333333326E-2</v>
      </c>
      <c r="M24" s="423">
        <f>(D14/60)*0</f>
        <v>0</v>
      </c>
      <c r="N24" s="427">
        <f>IFERROR(J24*IF(AND(ISNUMBER(SEARCH(TEXT(C24,"ddd"),$G$11)),Data!$F$2),$G$14,$D$14)+K24*$G$14,"")</f>
        <v>1036.4326923076924</v>
      </c>
      <c r="O24" s="141">
        <f t="shared" si="3"/>
        <v>1036.4326923076924</v>
      </c>
      <c r="P24" s="155"/>
      <c r="Q24" s="89"/>
      <c r="R24" s="129">
        <f>R22-R23</f>
        <v>0.39444444444444432</v>
      </c>
    </row>
    <row r="25" spans="2:34">
      <c r="B25" s="432">
        <v>8</v>
      </c>
      <c r="C25" s="429">
        <f t="shared" si="4"/>
        <v>46284</v>
      </c>
      <c r="D25" s="430">
        <f t="shared" si="4"/>
        <v>46284</v>
      </c>
      <c r="E25" s="424">
        <v>0.375</v>
      </c>
      <c r="F25" s="424">
        <v>0</v>
      </c>
      <c r="G25" s="424">
        <f t="shared" si="0"/>
        <v>0.375</v>
      </c>
      <c r="H25" s="424">
        <v>0.5</v>
      </c>
      <c r="I25" s="425">
        <v>0</v>
      </c>
      <c r="J25" s="425">
        <f t="shared" si="1"/>
        <v>3</v>
      </c>
      <c r="K25" s="425">
        <f t="shared" ref="K25:K31" si="5">IF(AND(G25&lt;&gt;"",H25&lt;&gt;""),((IF(G25&lt;$B$14,MIN($B$14-G25,H25-G25),0)+IF(H25&gt;$B$14+TIME($C$14,($C$14-INT($C$14))*60,0),MIN((H25-$B$14-TIME($C$14,($C$14-INT($C$14))*60,0)),(H25-G25)),0))*24),"")</f>
        <v>0</v>
      </c>
      <c r="L25" s="426">
        <f>E25-B14</f>
        <v>4.1666666666666685E-2</v>
      </c>
      <c r="M25" s="423">
        <v>0</v>
      </c>
      <c r="N25" s="427">
        <f>IFERROR(J25*IF(AND(ISNUMBER(SEARCH(TEXT(C25,"ddd"),$G$11)),Data!$F$2),$G$14,$D$14)+K25*$G$14,"")</f>
        <v>260.19230769230768</v>
      </c>
      <c r="O25" s="141">
        <f t="shared" si="3"/>
        <v>260.19230769230768</v>
      </c>
      <c r="P25" s="89"/>
      <c r="Q25" s="89"/>
    </row>
    <row r="26" spans="2:34">
      <c r="B26" s="432"/>
      <c r="C26" s="429">
        <f t="shared" si="4"/>
        <v>46285</v>
      </c>
      <c r="D26" s="430">
        <f t="shared" si="4"/>
        <v>46285</v>
      </c>
      <c r="E26" s="424">
        <v>0</v>
      </c>
      <c r="F26" s="424">
        <v>0</v>
      </c>
      <c r="G26" s="424">
        <f t="shared" si="0"/>
        <v>0</v>
      </c>
      <c r="H26" s="424">
        <v>0.75</v>
      </c>
      <c r="I26" s="425">
        <v>0</v>
      </c>
      <c r="J26" s="425">
        <v>0</v>
      </c>
      <c r="K26" s="425">
        <f t="shared" si="5"/>
        <v>8</v>
      </c>
      <c r="L26" s="97">
        <v>0</v>
      </c>
      <c r="M26" s="98">
        <f>(D14/60)*0</f>
        <v>0</v>
      </c>
      <c r="N26" s="251">
        <f>IFERROR(J26*IF(AND(ISNUMBER(SEARCH(TEXT(C26,"ddd"),$G$11)),Data!$F$2),$G$14,$D$14)+K26*$G$14,"")</f>
        <v>867.30769230769226</v>
      </c>
      <c r="O26" s="141">
        <f t="shared" si="3"/>
        <v>867.30769230769226</v>
      </c>
      <c r="P26" s="89"/>
      <c r="Q26" s="89"/>
    </row>
    <row r="27" spans="2:34">
      <c r="B27" s="432">
        <v>9</v>
      </c>
      <c r="C27" s="429">
        <f t="shared" si="4"/>
        <v>46286</v>
      </c>
      <c r="D27" s="430">
        <f t="shared" si="4"/>
        <v>46286</v>
      </c>
      <c r="E27" s="424">
        <v>0.33333333333333331</v>
      </c>
      <c r="F27" s="424">
        <v>0</v>
      </c>
      <c r="G27" s="424">
        <f t="shared" si="0"/>
        <v>0.33333333333333331</v>
      </c>
      <c r="H27" s="424">
        <v>0.75</v>
      </c>
      <c r="I27" s="425">
        <v>1</v>
      </c>
      <c r="J27" s="425">
        <f t="shared" ref="J27:J31" si="6">IFERROR(IF(AND(G27&lt;&gt;"",H27&lt;&gt;""),IF(G27&gt;$B$14+TIME($C$14,($C$14-INT($C$14))*60,0),0,IF(H27&gt;$B$14+TIME($C$14,($C$14-INT($C$14))*60,0),MIN(TIME($C$14,($C$14-INT($C$14))*60,0),($B$14+TIME($C$14,($C$14-INT($C$14))*60,0)-G27)),MIN(IF((H27-$B$14)&lt;0,0,(H27-$B$14)),(H27-G27))))*24,"")-I27,"")</f>
        <v>9</v>
      </c>
      <c r="K27" s="425">
        <f t="shared" si="5"/>
        <v>0</v>
      </c>
      <c r="L27" s="426">
        <v>0</v>
      </c>
      <c r="M27" s="423">
        <f>(D14/60)*0</f>
        <v>0</v>
      </c>
      <c r="N27" s="427">
        <f>IFERROR(J27*IF(AND(ISNUMBER(SEARCH(TEXT(C27,"ddd"),$G$11)),Data!$F$2),$G$14,$D$14)+K27*$G$14,"")</f>
        <v>780.57692307692309</v>
      </c>
      <c r="O27" s="141">
        <f t="shared" si="3"/>
        <v>780.57692307692309</v>
      </c>
      <c r="P27" s="127">
        <f>O27-N27</f>
        <v>0</v>
      </c>
      <c r="Q27" s="89"/>
    </row>
    <row r="28" spans="2:34">
      <c r="B28" s="432">
        <v>10</v>
      </c>
      <c r="C28" s="429">
        <f t="shared" si="4"/>
        <v>46287</v>
      </c>
      <c r="D28" s="430">
        <f t="shared" si="4"/>
        <v>46287</v>
      </c>
      <c r="E28" s="424">
        <v>0.33333333333333331</v>
      </c>
      <c r="F28" s="424">
        <v>0</v>
      </c>
      <c r="G28" s="424">
        <f t="shared" si="0"/>
        <v>0.33333333333333331</v>
      </c>
      <c r="H28" s="424">
        <v>0.75</v>
      </c>
      <c r="I28" s="425">
        <v>1</v>
      </c>
      <c r="J28" s="425">
        <f t="shared" si="6"/>
        <v>9</v>
      </c>
      <c r="K28" s="425">
        <f t="shared" si="5"/>
        <v>0</v>
      </c>
      <c r="L28" s="426">
        <v>0</v>
      </c>
      <c r="M28" s="423">
        <f>(D14/60)*0</f>
        <v>0</v>
      </c>
      <c r="N28" s="427">
        <f>IFERROR(J28*IF(AND(ISNUMBER(SEARCH(TEXT(C28,"ddd"),$G$11)),Data!$F$2),$G$14,$D$14)+K28*$G$14,"")</f>
        <v>780.57692307692309</v>
      </c>
      <c r="O28" s="141">
        <f t="shared" si="3"/>
        <v>780.57692307692309</v>
      </c>
      <c r="Q28" s="89"/>
    </row>
    <row r="29" spans="2:34">
      <c r="B29" s="432">
        <v>11</v>
      </c>
      <c r="C29" s="429">
        <f t="shared" si="4"/>
        <v>46288</v>
      </c>
      <c r="D29" s="430">
        <f t="shared" si="4"/>
        <v>46288</v>
      </c>
      <c r="E29" s="424">
        <v>0.33333333333333331</v>
      </c>
      <c r="F29" s="424">
        <v>0</v>
      </c>
      <c r="G29" s="424">
        <f t="shared" si="0"/>
        <v>0.33333333333333331</v>
      </c>
      <c r="H29" s="424">
        <v>0.75</v>
      </c>
      <c r="I29" s="425">
        <v>1</v>
      </c>
      <c r="J29" s="425">
        <f t="shared" si="6"/>
        <v>9</v>
      </c>
      <c r="K29" s="425">
        <f t="shared" si="5"/>
        <v>0</v>
      </c>
      <c r="L29" s="426">
        <v>0</v>
      </c>
      <c r="M29" s="423">
        <v>0</v>
      </c>
      <c r="N29" s="427">
        <f>IFERROR(J29*IF(AND(ISNUMBER(SEARCH(TEXT(C29,"ddd"),$G$11)),Data!$F$2),$G$14,$D$14)+K29*$G$14,"")</f>
        <v>780.57692307692309</v>
      </c>
      <c r="O29" s="141">
        <f t="shared" si="3"/>
        <v>780.57692307692309</v>
      </c>
      <c r="Q29" s="89"/>
    </row>
    <row r="30" spans="2:34">
      <c r="B30" s="432">
        <v>12</v>
      </c>
      <c r="C30" s="429">
        <f t="shared" si="4"/>
        <v>46289</v>
      </c>
      <c r="D30" s="430">
        <f t="shared" si="4"/>
        <v>46289</v>
      </c>
      <c r="E30" s="424">
        <v>0.33333333333333331</v>
      </c>
      <c r="F30" s="424">
        <v>0</v>
      </c>
      <c r="G30" s="424">
        <f>E30-F30</f>
        <v>0.33333333333333331</v>
      </c>
      <c r="H30" s="424">
        <v>0.75</v>
      </c>
      <c r="I30" s="425">
        <v>1</v>
      </c>
      <c r="J30" s="425">
        <f t="shared" si="6"/>
        <v>9</v>
      </c>
      <c r="K30" s="425">
        <f t="shared" si="5"/>
        <v>0</v>
      </c>
      <c r="L30" s="426">
        <f>G30-B14</f>
        <v>0</v>
      </c>
      <c r="M30" s="423">
        <f>(D14/60)*0</f>
        <v>0</v>
      </c>
      <c r="N30" s="427">
        <f>IFERROR(J30*IF(AND(ISNUMBER(SEARCH(TEXT(C30,"ddd"),$G$11)),Data!$F$2),$G$14,$D$14)+K30*$G$14,"")</f>
        <v>780.57692307692309</v>
      </c>
      <c r="O30" s="141">
        <f t="shared" si="3"/>
        <v>780.57692307692309</v>
      </c>
      <c r="P30" s="127"/>
      <c r="Q30" s="89"/>
    </row>
    <row r="31" spans="2:34">
      <c r="B31" s="432">
        <v>13</v>
      </c>
      <c r="C31" s="429">
        <f t="shared" si="4"/>
        <v>46290</v>
      </c>
      <c r="D31" s="430">
        <f t="shared" si="4"/>
        <v>46290</v>
      </c>
      <c r="E31" s="424">
        <v>0.33333333333333331</v>
      </c>
      <c r="F31" s="424">
        <v>0</v>
      </c>
      <c r="G31" s="424">
        <f>E31-F31</f>
        <v>0.33333333333333331</v>
      </c>
      <c r="H31" s="424">
        <v>0.75</v>
      </c>
      <c r="I31" s="425">
        <v>1</v>
      </c>
      <c r="J31" s="425">
        <f t="shared" si="6"/>
        <v>9</v>
      </c>
      <c r="K31" s="425">
        <f t="shared" si="5"/>
        <v>0</v>
      </c>
      <c r="L31" s="426">
        <v>0</v>
      </c>
      <c r="M31" s="423">
        <f>(D14/60)*0</f>
        <v>0</v>
      </c>
      <c r="N31" s="427">
        <f>IFERROR(J31*IF(AND(ISNUMBER(SEARCH(TEXT(C31,"ddd"),$G$11)),Data!$F$2),$G$14,$D$14)+K31*$G$14,"")</f>
        <v>780.57692307692309</v>
      </c>
      <c r="O31" s="141">
        <f t="shared" si="3"/>
        <v>780.57692307692309</v>
      </c>
    </row>
    <row r="32" spans="2:34">
      <c r="B32" s="441"/>
      <c r="C32" s="442"/>
      <c r="D32" s="443"/>
      <c r="E32" s="444"/>
      <c r="F32" s="444"/>
      <c r="G32" s="593" t="s">
        <v>182</v>
      </c>
      <c r="H32" s="594"/>
      <c r="I32" s="445">
        <f>SUM(I17:I31)</f>
        <v>10</v>
      </c>
      <c r="J32" s="445">
        <f>SUM(J17:J31)</f>
        <v>98.88333333333334</v>
      </c>
      <c r="K32" s="445">
        <f>SUM(K17:K31)</f>
        <v>19</v>
      </c>
      <c r="L32" s="445">
        <f>SUM(L17:L31)</f>
        <v>0.40138888888888896</v>
      </c>
      <c r="M32" s="445">
        <f>SUM(M17:M31)</f>
        <v>346.92307692307691</v>
      </c>
      <c r="N32" s="441"/>
      <c r="O32" s="165">
        <f>SUM(N17:N31)</f>
        <v>10636.083333333336</v>
      </c>
    </row>
    <row r="33" spans="2:17">
      <c r="B33" s="441"/>
      <c r="C33" s="442"/>
      <c r="D33" s="443"/>
      <c r="E33" s="444"/>
      <c r="F33" s="444"/>
      <c r="G33" s="459" t="s">
        <v>39</v>
      </c>
      <c r="H33" s="460"/>
      <c r="I33" s="461"/>
      <c r="J33" s="462"/>
      <c r="K33" s="463"/>
      <c r="L33" s="464">
        <f>(D14/60)*0</f>
        <v>0</v>
      </c>
      <c r="M33" s="465"/>
      <c r="N33" s="466">
        <f>D14*H14</f>
        <v>9020</v>
      </c>
      <c r="O33" s="95">
        <f>SUM(N17:N31)</f>
        <v>10636.083333333336</v>
      </c>
      <c r="P33" s="95"/>
      <c r="Q33" s="95"/>
    </row>
    <row r="34" spans="2:17">
      <c r="B34" s="65"/>
      <c r="C34" s="65"/>
      <c r="D34" s="85"/>
      <c r="E34" s="85"/>
      <c r="F34" s="85"/>
      <c r="G34" s="592" t="s">
        <v>183</v>
      </c>
      <c r="H34" s="592"/>
      <c r="I34" s="80"/>
      <c r="J34" s="80">
        <f>H14-J32</f>
        <v>5.11666666666666</v>
      </c>
      <c r="K34" s="65"/>
      <c r="L34" s="120"/>
      <c r="M34" s="65"/>
      <c r="N34" s="121">
        <f>M32</f>
        <v>346.92307692307691</v>
      </c>
      <c r="O34" s="151">
        <f>O32-O33</f>
        <v>0</v>
      </c>
      <c r="P34" s="95"/>
      <c r="Q34" s="95"/>
    </row>
    <row r="35" spans="2:17">
      <c r="B35" s="65"/>
      <c r="C35" s="65"/>
      <c r="D35" s="85"/>
      <c r="E35" s="145"/>
      <c r="F35" s="145"/>
      <c r="G35" s="78" t="s">
        <v>41</v>
      </c>
      <c r="H35" s="79"/>
      <c r="I35" s="66"/>
      <c r="J35" s="66"/>
      <c r="K35" s="80"/>
      <c r="L35" s="80"/>
      <c r="M35" s="80"/>
      <c r="N35" s="121">
        <f>N33-N34</f>
        <v>8673.0769230769238</v>
      </c>
      <c r="O35" s="95"/>
      <c r="P35" s="95"/>
      <c r="Q35" s="95"/>
    </row>
    <row r="36" spans="2:17">
      <c r="B36" s="65"/>
      <c r="C36" s="65"/>
      <c r="D36" s="85"/>
      <c r="E36" s="146"/>
      <c r="F36" s="146"/>
      <c r="G36" s="604" t="s">
        <v>184</v>
      </c>
      <c r="H36" s="605"/>
      <c r="I36" s="80"/>
      <c r="J36" s="401"/>
      <c r="K36" s="122"/>
      <c r="L36" s="122"/>
      <c r="M36" s="122"/>
      <c r="N36" s="123">
        <v>0</v>
      </c>
      <c r="O36" s="95"/>
    </row>
    <row r="37" spans="2:17">
      <c r="B37" s="65"/>
      <c r="C37" s="65"/>
      <c r="D37" s="85"/>
      <c r="E37" s="146"/>
      <c r="F37" s="146"/>
      <c r="G37" s="86" t="s">
        <v>185</v>
      </c>
      <c r="H37" s="87"/>
      <c r="I37" s="80"/>
      <c r="J37" s="66"/>
      <c r="K37" s="122"/>
      <c r="L37" s="122"/>
      <c r="M37" s="122"/>
      <c r="N37" s="123">
        <v>0</v>
      </c>
      <c r="O37" s="95"/>
    </row>
    <row r="38" spans="2:17">
      <c r="B38" s="65"/>
      <c r="C38" s="65"/>
      <c r="D38" s="85"/>
      <c r="E38" s="145"/>
      <c r="F38" s="145"/>
      <c r="G38" s="597" t="s">
        <v>186</v>
      </c>
      <c r="H38" s="598"/>
      <c r="I38" s="66"/>
      <c r="J38" s="66"/>
      <c r="K38" s="66"/>
      <c r="L38" s="66"/>
      <c r="M38" s="66"/>
      <c r="N38" s="124">
        <f>N35+N36+N37</f>
        <v>8673.0769230769238</v>
      </c>
      <c r="O38" s="95"/>
    </row>
    <row r="39" spans="2:17">
      <c r="D39" s="88"/>
      <c r="E39" s="88"/>
      <c r="F39" s="88"/>
      <c r="G39" s="589"/>
      <c r="H39" s="589"/>
      <c r="I39" s="90"/>
      <c r="J39" s="90"/>
      <c r="K39" s="125"/>
      <c r="L39" s="125"/>
      <c r="M39" s="125"/>
      <c r="N39" s="126"/>
      <c r="O39" s="127"/>
    </row>
    <row r="40" spans="2:17">
      <c r="D40" s="91"/>
      <c r="E40" s="91"/>
      <c r="F40" s="91"/>
    </row>
    <row r="41" spans="2:17">
      <c r="B41" s="590" t="s">
        <v>187</v>
      </c>
      <c r="C41" s="590"/>
      <c r="D41" s="590"/>
      <c r="E41" s="590"/>
      <c r="F41" s="590"/>
      <c r="G41" s="590"/>
      <c r="H41" s="590"/>
      <c r="I41" s="590"/>
      <c r="J41" s="590"/>
      <c r="K41" s="590"/>
      <c r="L41" s="590"/>
      <c r="M41" s="590"/>
      <c r="N41" s="590"/>
    </row>
    <row r="42" spans="2:17">
      <c r="D42" s="91"/>
      <c r="E42" s="91"/>
      <c r="F42" s="91"/>
    </row>
    <row r="43" spans="2:17">
      <c r="D43" s="91" t="s">
        <v>188</v>
      </c>
      <c r="E43" s="91"/>
      <c r="F43" s="91"/>
      <c r="N43" s="95"/>
    </row>
    <row r="44" spans="2:17">
      <c r="D44" s="54" t="s">
        <v>10</v>
      </c>
      <c r="E44" s="54"/>
      <c r="F44" s="54"/>
      <c r="G44" s="54" t="s">
        <v>11</v>
      </c>
      <c r="H44" s="54" t="s">
        <v>12</v>
      </c>
      <c r="I44" s="55" t="s">
        <v>13</v>
      </c>
    </row>
    <row r="45" spans="2:17">
      <c r="D45" s="56">
        <v>2026</v>
      </c>
      <c r="E45" s="56"/>
      <c r="F45" s="56"/>
      <c r="G45" s="56" t="s">
        <v>204</v>
      </c>
      <c r="H45" s="56">
        <v>12</v>
      </c>
      <c r="I45" s="56" t="s">
        <v>15</v>
      </c>
    </row>
    <row r="46" spans="2:17">
      <c r="D46" s="57"/>
      <c r="E46" s="57"/>
      <c r="F46" s="57"/>
      <c r="G46" s="57"/>
      <c r="H46" s="56"/>
    </row>
    <row r="47" spans="2:17" ht="33.75">
      <c r="D47" s="159" t="s">
        <v>16</v>
      </c>
      <c r="E47" s="159"/>
      <c r="F47" s="159"/>
      <c r="G47" s="159" t="s">
        <v>17</v>
      </c>
      <c r="H47" s="159" t="s">
        <v>18</v>
      </c>
      <c r="I47" s="159" t="s">
        <v>19</v>
      </c>
    </row>
    <row r="48" spans="2:17">
      <c r="D48" s="61">
        <v>0.33333333333333298</v>
      </c>
      <c r="E48" s="61"/>
      <c r="F48" s="61"/>
      <c r="G48" s="62">
        <v>10</v>
      </c>
      <c r="H48" s="63">
        <f>D14</f>
        <v>86.730769230769226</v>
      </c>
      <c r="I48" s="130">
        <f>(H48*30%)+H48</f>
        <v>112.75</v>
      </c>
    </row>
    <row r="50" spans="3:14">
      <c r="C50" s="131" t="s">
        <v>20</v>
      </c>
      <c r="D50" s="131" t="s">
        <v>12</v>
      </c>
      <c r="E50" s="131"/>
      <c r="F50" s="131"/>
      <c r="G50" s="131" t="s">
        <v>21</v>
      </c>
      <c r="H50" s="131" t="s">
        <v>22</v>
      </c>
      <c r="I50" s="131" t="s">
        <v>23</v>
      </c>
      <c r="J50" s="131" t="s">
        <v>24</v>
      </c>
      <c r="K50" s="131" t="s">
        <v>25</v>
      </c>
      <c r="L50" s="131"/>
      <c r="M50" s="131"/>
      <c r="N50" s="131" t="s">
        <v>26</v>
      </c>
    </row>
    <row r="51" spans="3:14">
      <c r="C51" s="70" t="s">
        <v>353</v>
      </c>
      <c r="D51" s="71">
        <f>DATE($B$11,MATCH($G$45,Data!$B$2:$B$13,0),GAID!$H$45)</f>
        <v>46185</v>
      </c>
      <c r="E51" s="71"/>
      <c r="F51" s="71"/>
      <c r="G51" s="72">
        <v>0.33333333333333331</v>
      </c>
      <c r="H51" s="72">
        <v>0.75</v>
      </c>
      <c r="I51" s="73">
        <v>1</v>
      </c>
      <c r="J51" s="73">
        <f>IFERROR(IF(AND(G51&lt;&gt;"",H51&lt;&gt;""),IF(G51&gt;$B$14+TIME($C$14,($C$14-INT($C$14))*60,0),0,IF(H51&gt;$B$14+TIME($C$14,($C$14-INT($C$14))*60,0),MIN(TIME($C$14,($C$14-INT($C$14))*60,0),($B$14+TIME($C$14,($C$14-INT($C$14))*60,0)-G51)),MIN(IF((H51-$B$14)&lt;0,0,(H51-$B$14)),(H51-G51))))*24,"")-I51,"")</f>
        <v>9</v>
      </c>
      <c r="K51" s="73">
        <f>IF(AND(G51&lt;&gt;"",H51&lt;&gt;""),((IF(G51&lt;$D$48,MIN($D$48-G51,H51-G51),0)+IF(H51&gt;$D$48+TIME($G$48,($G$48-INT($G$48))*60,0),MIN((H51-$D$48-TIME($G$48,($G$48-INT($G$48))*60,0)),(H51-G51)),0))*24),"")</f>
        <v>0</v>
      </c>
      <c r="L51" s="73"/>
      <c r="M51" s="73"/>
      <c r="N51" s="99">
        <f>(J51*H48)</f>
        <v>780.57692307692309</v>
      </c>
    </row>
    <row r="52" spans="3:14">
      <c r="C52" s="70" t="s">
        <v>445</v>
      </c>
      <c r="D52" s="71">
        <v>23</v>
      </c>
      <c r="E52" s="71"/>
      <c r="F52" s="71"/>
      <c r="G52" s="72">
        <v>0</v>
      </c>
      <c r="H52" s="72">
        <v>0</v>
      </c>
      <c r="I52" s="73">
        <v>0</v>
      </c>
      <c r="J52" s="73">
        <f>IFERROR(IF(AND(G52&lt;&gt;"",H52&lt;&gt;""),IF(G52&gt;$B$14+TIME($C$14,($C$14-INT($C$14))*60,0),0,IF(H52&gt;$B$14+TIME($C$14,($C$14-INT($C$14))*60,0),MIN(TIME($C$14,($C$14-INT($C$14))*60,0),($B$14+TIME($C$14,($C$14-INT($C$14))*60,0)-G52)),MIN(IF((H52-$B$14)&lt;0,0,(H52-$B$14)),(H52-G52))))*24,"")-I52,"")</f>
        <v>0</v>
      </c>
      <c r="K52" s="73">
        <f>IF(AND(G52&lt;&gt;"",H52&lt;&gt;""),((IF(G52&lt;$D$48,MIN($D$48-G52,H52-G52),0)+IF(H52&gt;$D$48+TIME($G$48,($G$48-INT($G$48))*60,0),MIN((H52-$D$48-TIME($G$48,($G$48-INT($G$48))*60,0)),(H52-G52)),0))*24),"")</f>
        <v>0</v>
      </c>
      <c r="L52" s="73"/>
      <c r="M52" s="73"/>
      <c r="N52" s="99">
        <f>(J52*H48)</f>
        <v>0</v>
      </c>
    </row>
    <row r="53" spans="3:14">
      <c r="C53" s="66"/>
      <c r="D53" s="319"/>
      <c r="E53" s="66"/>
      <c r="F53" s="66"/>
      <c r="G53" s="66"/>
      <c r="H53" s="66"/>
      <c r="I53" s="66"/>
      <c r="J53" s="66"/>
      <c r="K53" s="66"/>
      <c r="L53" s="66"/>
      <c r="M53" s="66"/>
      <c r="N53" s="318">
        <f>SUM(N51:N52)</f>
        <v>780.57692307692309</v>
      </c>
    </row>
    <row r="54" spans="3:14">
      <c r="N54" s="138"/>
    </row>
    <row r="55" spans="3:14">
      <c r="C55" s="132" t="s">
        <v>190</v>
      </c>
      <c r="D55" s="132"/>
      <c r="N55" s="138"/>
    </row>
    <row r="56" spans="3:14">
      <c r="N56" s="138"/>
    </row>
    <row r="57" spans="3:14">
      <c r="D57" s="591">
        <v>46255</v>
      </c>
      <c r="E57" s="591"/>
      <c r="F57" s="591"/>
      <c r="G57" s="88"/>
      <c r="H57" s="148" t="s">
        <v>280</v>
      </c>
      <c r="I57" s="254"/>
      <c r="L57" s="95"/>
      <c r="N57" s="138"/>
    </row>
    <row r="58" spans="3:14">
      <c r="E58" s="88"/>
      <c r="F58" s="88"/>
      <c r="G58" s="256">
        <f>G57*H58</f>
        <v>0</v>
      </c>
      <c r="H58" s="253">
        <v>0.3</v>
      </c>
      <c r="I58" s="254"/>
      <c r="N58" s="138"/>
    </row>
    <row r="59" spans="3:14">
      <c r="E59" s="91"/>
      <c r="F59" s="91"/>
      <c r="G59" s="91"/>
      <c r="N59" s="138"/>
    </row>
    <row r="60" spans="3:14">
      <c r="E60" s="91"/>
      <c r="F60" s="91"/>
      <c r="G60" s="91"/>
      <c r="H60" s="257">
        <f>G58</f>
        <v>0</v>
      </c>
      <c r="N60" s="138"/>
    </row>
    <row r="61" spans="3:14">
      <c r="N61" s="138"/>
    </row>
    <row r="62" spans="3:14">
      <c r="N62" s="138"/>
    </row>
    <row r="63" spans="3:14">
      <c r="N63" s="138"/>
    </row>
    <row r="64" spans="3:14">
      <c r="D64" s="132"/>
      <c r="E64" s="132"/>
      <c r="F64" s="132"/>
      <c r="G64" s="133"/>
      <c r="H64" s="133"/>
      <c r="I64" s="133"/>
    </row>
    <row r="65" spans="3:9">
      <c r="D65" s="132"/>
      <c r="E65" s="132"/>
      <c r="F65" s="132"/>
      <c r="G65" s="133"/>
      <c r="H65" s="133"/>
      <c r="I65" s="133"/>
    </row>
    <row r="66" spans="3:9">
      <c r="F66" s="132"/>
      <c r="G66" s="133"/>
      <c r="H66" s="133"/>
      <c r="I66" s="133"/>
    </row>
    <row r="67" spans="3:9">
      <c r="G67" s="606"/>
      <c r="H67" s="606"/>
    </row>
    <row r="70" spans="3:9">
      <c r="C70" s="91" t="s">
        <v>141</v>
      </c>
    </row>
    <row r="71" spans="3:9">
      <c r="C71" t="s">
        <v>66</v>
      </c>
    </row>
    <row r="72" spans="3:9">
      <c r="C72" s="91"/>
    </row>
  </sheetData>
  <mergeCells count="13">
    <mergeCell ref="G67:H67"/>
    <mergeCell ref="G34:H34"/>
    <mergeCell ref="G36:H36"/>
    <mergeCell ref="G38:H38"/>
    <mergeCell ref="G39:H39"/>
    <mergeCell ref="B41:N41"/>
    <mergeCell ref="D57:F57"/>
    <mergeCell ref="G32:H32"/>
    <mergeCell ref="A6:N6"/>
    <mergeCell ref="C7:D7"/>
    <mergeCell ref="M7:O7"/>
    <mergeCell ref="C8:D8"/>
    <mergeCell ref="M8:O8"/>
  </mergeCells>
  <conditionalFormatting sqref="C17:D17">
    <cfRule type="expression" dxfId="214" priority="97">
      <formula>ISNUMBER(SEARCH(TEXT($B17,"ddd"),$F$10))</formula>
    </cfRule>
  </conditionalFormatting>
  <conditionalFormatting sqref="C18:D31">
    <cfRule type="expression" dxfId="213" priority="100">
      <formula>ISNUMBER(SEARCH(TEXT($C18,"ddd"),$G$11))</formula>
    </cfRule>
  </conditionalFormatting>
  <conditionalFormatting sqref="C51:N52">
    <cfRule type="expression" dxfId="212" priority="1">
      <formula>ISNUMBER(SEARCH(TEXT($C51,"ddd"),$G$11))</formula>
    </cfRule>
  </conditionalFormatting>
  <conditionalFormatting sqref="E17:K31">
    <cfRule type="expression" dxfId="211" priority="2">
      <formula>ISNUMBER(SEARCH(TEXT($C17,"ddd"),$G$11))</formula>
    </cfRule>
  </conditionalFormatting>
  <conditionalFormatting sqref="N17:N31">
    <cfRule type="expression" dxfId="210" priority="98">
      <formula>ISNUMBER(SEARCH(TEXT($B17,"ddd"),$F$10))</formula>
    </cfRule>
  </conditionalFormatting>
  <dataValidations count="5">
    <dataValidation type="list" allowBlank="1" showInputMessage="1" showErrorMessage="1" sqref="D11 H45:H46" xr:uid="{00000000-0002-0000-1800-000000000000}">
      <formula1>DateCalc</formula1>
    </dataValidation>
    <dataValidation type="custom" allowBlank="1" showInputMessage="1" showErrorMessage="1" sqref="H51:H52 H17:H31" xr:uid="{00000000-0002-0000-1800-000001000000}">
      <formula1>AND($H17&lt;=1,ISNUMBER($H17),($H17&gt;=$G17))</formula1>
    </dataValidation>
    <dataValidation type="custom" allowBlank="1" showInputMessage="1" showErrorMessage="1" sqref="G51:G52 E17:G31" xr:uid="{00000000-0002-0000-1800-000002000000}">
      <formula1>AND($G17&lt;=1,ISNUMBER($G17))</formula1>
    </dataValidation>
    <dataValidation type="list" allowBlank="1" showInputMessage="1" showErrorMessage="1" sqref="E11:F11" xr:uid="{00000000-0002-0000-1800-000003000000}">
      <formula1>GAID!DateCalc</formula1>
    </dataValidation>
    <dataValidation type="list" allowBlank="1" showInputMessage="1" showErrorMessage="1" sqref="G11" xr:uid="{00000000-0002-0000-1800-000006000000}"/>
  </dataValidations>
  <pageMargins left="1.07083333333333" right="0.25" top="0.359722222222222" bottom="0.39791666666666697" header="0.29861111111111099" footer="0.29861111111111099"/>
  <pageSetup paperSize="9" scale="91" orientation="landscape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9249" r:id="rId4" name="Check Box 1">
              <controlPr defaultSize="0" print="0" autoPict="0">
                <anchor moveWithCells="1">
                  <from>
                    <xdr:col>7</xdr:col>
                    <xdr:colOff>180975</xdr:colOff>
                    <xdr:row>9</xdr:row>
                    <xdr:rowOff>28575</xdr:rowOff>
                  </from>
                  <to>
                    <xdr:col>8</xdr:col>
                    <xdr:colOff>571500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800-000004000000}">
          <x14:formula1>
            <xm:f>Data!$A$2:$A$15</xm:f>
          </x14:formula1>
          <xm:sqref>B11 D45:F45</xm:sqref>
        </x14:dataValidation>
        <x14:dataValidation type="list" allowBlank="1" showInputMessage="1" showErrorMessage="1" xr:uid="{00000000-0002-0000-1800-000005000000}">
          <x14:formula1>
            <xm:f>Data!$B$2:$B$13</xm:f>
          </x14:formula1>
          <xm:sqref>C11 G45</xm:sqref>
        </x14:dataValidation>
        <x14:dataValidation type="list" allowBlank="1" showInputMessage="1" showErrorMessage="1" xr:uid="{00000000-0002-0000-1800-000007000000}">
          <x14:formula1>
            <xm:f>Data!$D$2:$D$16</xm:f>
          </x14:formula1>
          <xm:sqref>I45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5:AH84"/>
  <sheetViews>
    <sheetView showGridLines="0" view="pageLayout" topLeftCell="A8" zoomScaleNormal="100" workbookViewId="0">
      <selection activeCell="M40" sqref="M40"/>
    </sheetView>
  </sheetViews>
  <sheetFormatPr defaultColWidth="9" defaultRowHeight="12.75"/>
  <cols>
    <col min="1" max="1" width="1.625" customWidth="1"/>
    <col min="2" max="2" width="5.375" customWidth="1"/>
    <col min="3" max="3" width="7.125" customWidth="1"/>
    <col min="4" max="6" width="7.625" customWidth="1"/>
    <col min="7" max="7" width="10.125" customWidth="1"/>
    <col min="8" max="8" width="9.625" customWidth="1"/>
    <col min="9" max="9" width="8.125" customWidth="1"/>
    <col min="10" max="10" width="10.125" customWidth="1"/>
    <col min="11" max="11" width="7.875" customWidth="1"/>
    <col min="12" max="12" width="10.125" customWidth="1"/>
    <col min="13" max="13" width="9.125" customWidth="1"/>
    <col min="14" max="14" width="12.5" customWidth="1"/>
    <col min="15" max="15" width="16.875" customWidth="1"/>
    <col min="18" max="18" width="11.125" customWidth="1"/>
  </cols>
  <sheetData>
    <row r="5" spans="1:15" ht="25.5" customHeight="1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15" s="47" customFormat="1" ht="25.5" customHeight="1">
      <c r="A6" s="603"/>
      <c r="B6" s="603"/>
      <c r="C6" s="603"/>
      <c r="D6" s="603"/>
      <c r="E6" s="603"/>
      <c r="F6" s="603"/>
      <c r="G6" s="603"/>
      <c r="H6" s="603"/>
      <c r="I6" s="603"/>
      <c r="J6" s="603"/>
      <c r="K6" s="603"/>
      <c r="L6" s="603"/>
      <c r="M6" s="603"/>
      <c r="N6" s="603"/>
    </row>
    <row r="7" spans="1:15" ht="18.75" customHeight="1">
      <c r="C7" s="527" t="s">
        <v>3</v>
      </c>
      <c r="D7" s="527"/>
      <c r="E7" s="49"/>
      <c r="F7" s="49"/>
      <c r="G7" s="50" t="s">
        <v>205</v>
      </c>
      <c r="H7" s="51"/>
      <c r="K7" s="49" t="s">
        <v>174</v>
      </c>
      <c r="M7" s="599" t="str">
        <f>PAALAN!L7</f>
        <v>September  11-25, 2026</v>
      </c>
      <c r="N7" s="599"/>
      <c r="O7" s="599"/>
    </row>
    <row r="8" spans="1:15" ht="18.75" customHeight="1">
      <c r="C8" s="527" t="s">
        <v>175</v>
      </c>
      <c r="D8" s="527"/>
      <c r="E8" s="49"/>
      <c r="F8" s="49"/>
      <c r="G8" s="50" t="s">
        <v>206</v>
      </c>
      <c r="H8" s="51"/>
      <c r="K8" s="49" t="s">
        <v>176</v>
      </c>
      <c r="L8" s="92"/>
      <c r="M8" s="600" t="str">
        <f>PAALAN!L8</f>
        <v>9/31/2026</v>
      </c>
      <c r="N8" s="600"/>
      <c r="O8" s="600"/>
    </row>
    <row r="9" spans="1:15">
      <c r="C9" s="52"/>
      <c r="D9" s="53"/>
      <c r="E9" s="53"/>
      <c r="F9" s="53"/>
      <c r="G9" s="53"/>
    </row>
    <row r="10" spans="1:15">
      <c r="B10" s="54" t="s">
        <v>10</v>
      </c>
      <c r="C10" s="54" t="s">
        <v>11</v>
      </c>
      <c r="D10" s="54" t="s">
        <v>12</v>
      </c>
      <c r="E10" s="54"/>
      <c r="F10" s="54"/>
      <c r="G10" s="55" t="s">
        <v>13</v>
      </c>
    </row>
    <row r="11" spans="1:15">
      <c r="B11" s="56">
        <v>2026</v>
      </c>
      <c r="C11" s="56" t="s">
        <v>177</v>
      </c>
      <c r="D11" s="56">
        <v>11</v>
      </c>
      <c r="E11" s="56"/>
      <c r="F11" s="56"/>
      <c r="G11" s="56" t="s">
        <v>178</v>
      </c>
    </row>
    <row r="12" spans="1:15">
      <c r="B12" s="57"/>
      <c r="C12" s="57"/>
      <c r="H12" s="57"/>
      <c r="K12" s="57"/>
      <c r="L12" s="57"/>
      <c r="M12" s="57"/>
    </row>
    <row r="13" spans="1:15" ht="32.1" customHeight="1">
      <c r="B13" s="159" t="s">
        <v>16</v>
      </c>
      <c r="C13" s="159" t="s">
        <v>17</v>
      </c>
      <c r="D13" s="159" t="s">
        <v>18</v>
      </c>
      <c r="E13" s="160"/>
      <c r="F13" s="160"/>
      <c r="G13" s="160" t="s">
        <v>19</v>
      </c>
      <c r="H13" s="161" t="s">
        <v>179</v>
      </c>
      <c r="L13" s="93"/>
      <c r="M13" s="93"/>
      <c r="N13" s="94"/>
    </row>
    <row r="14" spans="1:15">
      <c r="B14" s="61">
        <v>0.33333333333333331</v>
      </c>
      <c r="C14" s="62">
        <v>10</v>
      </c>
      <c r="D14" s="63">
        <f>(20540/26)/8</f>
        <v>98.75</v>
      </c>
      <c r="E14" s="142"/>
      <c r="F14" s="142"/>
      <c r="G14" s="64"/>
      <c r="H14" s="65">
        <v>104</v>
      </c>
      <c r="I14" s="95"/>
      <c r="L14" s="57"/>
      <c r="M14" s="57"/>
      <c r="N14" s="95"/>
    </row>
    <row r="15" spans="1:15">
      <c r="N15" s="96"/>
    </row>
    <row r="16" spans="1:15" ht="23.25">
      <c r="B16" s="441"/>
      <c r="C16" s="448" t="s">
        <v>20</v>
      </c>
      <c r="D16" s="448" t="s">
        <v>12</v>
      </c>
      <c r="E16" s="448"/>
      <c r="F16" s="448"/>
      <c r="G16" s="448" t="s">
        <v>21</v>
      </c>
      <c r="H16" s="448" t="s">
        <v>22</v>
      </c>
      <c r="I16" s="449" t="s">
        <v>23</v>
      </c>
      <c r="J16" s="449" t="s">
        <v>24</v>
      </c>
      <c r="K16" s="449" t="s">
        <v>25</v>
      </c>
      <c r="L16" s="448" t="s">
        <v>180</v>
      </c>
      <c r="M16" s="450" t="s">
        <v>181</v>
      </c>
      <c r="N16" s="448" t="s">
        <v>26</v>
      </c>
    </row>
    <row r="17" spans="2:34">
      <c r="B17" s="432">
        <v>1</v>
      </c>
      <c r="C17" s="429">
        <f>DATE($B$11,MATCH($C$11,Data!$B$2:$B$13,0),GUERZO!$D$11)</f>
        <v>46276</v>
      </c>
      <c r="D17" s="430">
        <f>DATE($B$11,MATCH($C$11,Data!$B$2:$B$13,0),GUERZO!$D$11)</f>
        <v>46276</v>
      </c>
      <c r="E17" s="424">
        <v>0.38680555555555557</v>
      </c>
      <c r="F17" s="424">
        <v>0</v>
      </c>
      <c r="G17" s="424">
        <f t="shared" ref="G17:G22" si="0">E17-F17</f>
        <v>0.38680555555555557</v>
      </c>
      <c r="H17" s="424">
        <v>0.75</v>
      </c>
      <c r="I17" s="425">
        <v>1</v>
      </c>
      <c r="J17" s="425">
        <f t="shared" ref="J17:J31" si="1">IFERROR(IF(AND(G17&lt;&gt;"",H17&lt;&gt;""),IF(G17&gt;$B$14+TIME($C$14,($C$14-INT($C$14))*60,0),0,IF(H17&gt;$B$14+TIME($C$14,($C$14-INT($C$14))*60,0),MIN(TIME($C$14,($C$14-INT($C$14))*60,0),($B$14+TIME($C$14,($C$14-INT($C$14))*60,0)-G17)),MIN(IF((H17-$B$14)&lt;0,0,(H17-$B$14)),(H17-G17))))*24,"")-I17,"")</f>
        <v>7.7166666666666668</v>
      </c>
      <c r="K17" s="425">
        <v>0</v>
      </c>
      <c r="L17" s="426">
        <f>E17-B14</f>
        <v>5.3472222222222254E-2</v>
      </c>
      <c r="M17" s="423">
        <f>(D14/60)*0</f>
        <v>0</v>
      </c>
      <c r="N17" s="427">
        <f>IFERROR(J17*IF(AND(ISNUMBER(SEARCH(TEXT(C17,"ddd"),$G$11)),Data!$F$2),$G$14,$D$14)+K17*$G$14,"")</f>
        <v>762.02083333333337</v>
      </c>
      <c r="O17" s="141">
        <f t="shared" ref="O17:O31" si="2">M17+N17</f>
        <v>762.02083333333337</v>
      </c>
      <c r="P17" s="100"/>
      <c r="Q17" s="89"/>
    </row>
    <row r="18" spans="2:34">
      <c r="B18" s="432">
        <v>2</v>
      </c>
      <c r="C18" s="429">
        <f t="shared" ref="C18:D31" si="3">C17+1</f>
        <v>46277</v>
      </c>
      <c r="D18" s="430">
        <f t="shared" si="3"/>
        <v>46277</v>
      </c>
      <c r="E18" s="424">
        <v>0.375</v>
      </c>
      <c r="F18" s="424">
        <v>0</v>
      </c>
      <c r="G18" s="424">
        <f t="shared" si="0"/>
        <v>0.375</v>
      </c>
      <c r="H18" s="424">
        <v>0.5</v>
      </c>
      <c r="I18" s="425">
        <v>0</v>
      </c>
      <c r="J18" s="425">
        <f t="shared" si="1"/>
        <v>3</v>
      </c>
      <c r="K18" s="425">
        <f t="shared" ref="K18:K25" si="4">IF(AND(G18&lt;&gt;"",H18&lt;&gt;""),((IF(G18&lt;$B$14,MIN($B$14-G18,H18-G18),0)+IF(H18&gt;$B$14+TIME($C$14,($C$14-INT($C$14))*60,0),MIN((H18-$B$14-TIME($C$14,($C$14-INT($C$14))*60,0)),(H18-G18)),0))*24),"")</f>
        <v>0</v>
      </c>
      <c r="L18" s="426">
        <f>E18-B14</f>
        <v>4.1666666666666685E-2</v>
      </c>
      <c r="M18" s="423">
        <f>(D14/60)*0</f>
        <v>0</v>
      </c>
      <c r="N18" s="427">
        <f>IFERROR(J18*IF(AND(ISNUMBER(SEARCH(TEXT(C18,"ddd"),$G$11)),Data!$F$2),$G$14,$D$14)+K18*$G$14,"")</f>
        <v>296.25</v>
      </c>
      <c r="O18" s="141">
        <f t="shared" si="2"/>
        <v>296.25</v>
      </c>
      <c r="P18" s="89"/>
      <c r="Q18" s="89"/>
    </row>
    <row r="19" spans="2:34">
      <c r="B19" s="432"/>
      <c r="C19" s="429">
        <f t="shared" si="3"/>
        <v>46278</v>
      </c>
      <c r="D19" s="430">
        <f t="shared" si="3"/>
        <v>46278</v>
      </c>
      <c r="E19" s="424">
        <v>0</v>
      </c>
      <c r="F19" s="424">
        <v>0</v>
      </c>
      <c r="G19" s="424">
        <f t="shared" si="0"/>
        <v>0</v>
      </c>
      <c r="H19" s="424">
        <v>0</v>
      </c>
      <c r="I19" s="425">
        <v>0</v>
      </c>
      <c r="J19" s="425">
        <f t="shared" ref="J19" si="5">IFERROR(IF(AND(G19&lt;&gt;"",H19&lt;&gt;""),IF(G19&gt;$B$14+TIME($C$14,($C$14-INT($C$14))*60,0),0,IF(H19&gt;$B$14+TIME($C$14,($C$14-INT($C$14))*60,0),MIN(TIME($C$14,($C$14-INT($C$14))*60,0),($B$14+TIME($C$14,($C$14-INT($C$14))*60,0)-G19)),MIN(IF((H19-$B$14)&lt;0,0,(H19-$B$14)),(H19-G19))))*24,"")-I19,"")</f>
        <v>0</v>
      </c>
      <c r="K19" s="425">
        <f t="shared" ref="K19" si="6">IF(AND(G19&lt;&gt;"",H19&lt;&gt;""),((IF(G19&lt;$B$14,MIN($B$14-G19,H19-G19),0)+IF(H19&gt;$B$14+TIME($C$14,($C$14-INT($C$14))*60,0),MIN((H19-$B$14-TIME($C$14,($C$14-INT($C$14))*60,0)),(H19-G19)),0))*24),"")</f>
        <v>0</v>
      </c>
      <c r="L19" s="97">
        <v>0</v>
      </c>
      <c r="M19" s="98">
        <f>(D14/60)*0</f>
        <v>0</v>
      </c>
      <c r="N19" s="251">
        <f>IFERROR(J19*IF(AND(ISNUMBER(SEARCH(TEXT(C19,"ddd"),$G$11)),Data!$F$2),$G$14,$D$14)+K19*$G$14,"")</f>
        <v>0</v>
      </c>
      <c r="O19" s="141">
        <f t="shared" si="2"/>
        <v>0</v>
      </c>
      <c r="P19" s="100"/>
      <c r="Q19" s="104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</row>
    <row r="20" spans="2:34">
      <c r="B20" s="432">
        <v>3</v>
      </c>
      <c r="C20" s="429">
        <f t="shared" si="3"/>
        <v>46279</v>
      </c>
      <c r="D20" s="430">
        <f t="shared" si="3"/>
        <v>46279</v>
      </c>
      <c r="E20" s="424">
        <v>0.42291666666666666</v>
      </c>
      <c r="F20" s="424">
        <v>0</v>
      </c>
      <c r="G20" s="424">
        <f t="shared" si="0"/>
        <v>0.42291666666666666</v>
      </c>
      <c r="H20" s="424">
        <v>0.75</v>
      </c>
      <c r="I20" s="425">
        <v>1</v>
      </c>
      <c r="J20" s="425">
        <f t="shared" si="1"/>
        <v>6.85</v>
      </c>
      <c r="K20" s="425">
        <f t="shared" si="4"/>
        <v>0</v>
      </c>
      <c r="L20" s="426">
        <f>G20-B14</f>
        <v>8.9583333333333348E-2</v>
      </c>
      <c r="M20" s="423">
        <f>(D14/60)*0</f>
        <v>0</v>
      </c>
      <c r="N20" s="427">
        <f>IFERROR(J20*IF(AND(ISNUMBER(SEARCH(TEXT(C20,"ddd"),$G$11)),Data!$F$2),$G$14,$D$14)+K20*$G$14,"")</f>
        <v>676.4375</v>
      </c>
      <c r="O20" s="141">
        <f t="shared" si="2"/>
        <v>676.4375</v>
      </c>
      <c r="P20" s="103"/>
      <c r="Q20" s="103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28"/>
    </row>
    <row r="21" spans="2:34">
      <c r="B21" s="432">
        <v>4</v>
      </c>
      <c r="C21" s="429">
        <f t="shared" si="3"/>
        <v>46280</v>
      </c>
      <c r="D21" s="430">
        <f t="shared" si="3"/>
        <v>46280</v>
      </c>
      <c r="E21" s="424">
        <v>0.38819444444444445</v>
      </c>
      <c r="F21" s="424">
        <v>0</v>
      </c>
      <c r="G21" s="424">
        <f t="shared" ref="G21" si="7">E21-F21</f>
        <v>0.38819444444444445</v>
      </c>
      <c r="H21" s="424">
        <v>0.75</v>
      </c>
      <c r="I21" s="425">
        <v>1</v>
      </c>
      <c r="J21" s="425">
        <f t="shared" ref="J21" si="8">IFERROR(IF(AND(G21&lt;&gt;"",H21&lt;&gt;""),IF(G21&gt;$B$14+TIME($C$14,($C$14-INT($C$14))*60,0),0,IF(H21&gt;$B$14+TIME($C$14,($C$14-INT($C$14))*60,0),MIN(TIME($C$14,($C$14-INT($C$14))*60,0),($B$14+TIME($C$14,($C$14-INT($C$14))*60,0)-G21)),MIN(IF((H21-$B$14)&lt;0,0,(H21-$B$14)),(H21-G21))))*24,"")-I21,"")</f>
        <v>7.6833333333333336</v>
      </c>
      <c r="K21" s="425">
        <f t="shared" ref="K21" si="9">IF(AND(G21&lt;&gt;"",H21&lt;&gt;""),((IF(G21&lt;$B$14,MIN($B$14-G21,H21-G21),0)+IF(H21&gt;$B$14+TIME($C$14,($C$14-INT($C$14))*60,0),MIN((H21-$B$14-TIME($C$14,($C$14-INT($C$14))*60,0)),(H21-G21)),0))*24),"")</f>
        <v>0</v>
      </c>
      <c r="L21" s="426">
        <v>0</v>
      </c>
      <c r="M21" s="423">
        <f>(D14/60)*0</f>
        <v>0</v>
      </c>
      <c r="N21" s="427">
        <f>IFERROR(J21*IF(AND(ISNUMBER(SEARCH(TEXT(C21,"ddd"),$G$11)),Data!$F$2),$G$14,$D$14)+K21*$G$14,"")</f>
        <v>758.72916666666674</v>
      </c>
      <c r="O21" s="141">
        <f t="shared" si="2"/>
        <v>758.72916666666674</v>
      </c>
      <c r="P21" s="162"/>
      <c r="Q21" s="108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4"/>
    </row>
    <row r="22" spans="2:34">
      <c r="B22" s="432">
        <v>5</v>
      </c>
      <c r="C22" s="429">
        <f t="shared" si="3"/>
        <v>46281</v>
      </c>
      <c r="D22" s="430">
        <f t="shared" si="3"/>
        <v>46281</v>
      </c>
      <c r="E22" s="424">
        <v>0.35069444444444442</v>
      </c>
      <c r="F22" s="424">
        <v>0</v>
      </c>
      <c r="G22" s="424">
        <f t="shared" si="0"/>
        <v>0.35069444444444442</v>
      </c>
      <c r="H22" s="424">
        <v>0.75</v>
      </c>
      <c r="I22" s="425">
        <v>1</v>
      </c>
      <c r="J22" s="425">
        <f t="shared" si="1"/>
        <v>8.5833333333333339</v>
      </c>
      <c r="K22" s="425">
        <v>0</v>
      </c>
      <c r="L22" s="426">
        <f>E22-B14</f>
        <v>1.7361111111111105E-2</v>
      </c>
      <c r="M22" s="423">
        <f>(D14/60)*0</f>
        <v>0</v>
      </c>
      <c r="N22" s="427">
        <f>IFERROR(J22*IF(AND(ISNUMBER(SEARCH(TEXT(C22,"ddd"),$G$11)),Data!$F$2),$G$14,$D$14)+K22*$G$14,"")</f>
        <v>847.60416666666674</v>
      </c>
      <c r="O22" s="141">
        <f t="shared" si="2"/>
        <v>847.60416666666674</v>
      </c>
      <c r="P22" s="163">
        <f>O21-O22</f>
        <v>-88.875</v>
      </c>
      <c r="Q22" s="135"/>
      <c r="R22" s="96">
        <v>0.40486111111111101</v>
      </c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4"/>
    </row>
    <row r="23" spans="2:34">
      <c r="B23" s="432">
        <v>6</v>
      </c>
      <c r="C23" s="429">
        <f t="shared" si="3"/>
        <v>46282</v>
      </c>
      <c r="D23" s="430">
        <f t="shared" si="3"/>
        <v>46282</v>
      </c>
      <c r="E23" s="424">
        <v>0.33333333333333331</v>
      </c>
      <c r="F23" s="424">
        <v>0</v>
      </c>
      <c r="G23" s="424">
        <f t="shared" ref="G23:G24" si="10">E23-F23</f>
        <v>0.33333333333333331</v>
      </c>
      <c r="H23" s="424">
        <v>0.75</v>
      </c>
      <c r="I23" s="425">
        <v>1</v>
      </c>
      <c r="J23" s="425">
        <f t="shared" ref="J23:J24" si="11">IFERROR(IF(AND(G23&lt;&gt;"",H23&lt;&gt;""),IF(G23&gt;$B$14+TIME($C$14,($C$14-INT($C$14))*60,0),0,IF(H23&gt;$B$14+TIME($C$14,($C$14-INT($C$14))*60,0),MIN(TIME($C$14,($C$14-INT($C$14))*60,0),($B$14+TIME($C$14,($C$14-INT($C$14))*60,0)-G23)),MIN(IF((H23-$B$14)&lt;0,0,(H23-$B$14)),(H23-G23))))*24,"")-I23,"")</f>
        <v>9</v>
      </c>
      <c r="K23" s="425">
        <f t="shared" ref="K23" si="12">IF(AND(G23&lt;&gt;"",H23&lt;&gt;""),((IF(G23&lt;$B$14,MIN($B$14-G23,H23-G23),0)+IF(H23&gt;$B$14+TIME($C$14,($C$14-INT($C$14))*60,0),MIN((H23-$B$14-TIME($C$14,($C$14-INT($C$14))*60,0)),(H23-G23)),0))*24),"")</f>
        <v>0</v>
      </c>
      <c r="L23" s="426">
        <f>E23-B14</f>
        <v>0</v>
      </c>
      <c r="M23" s="423">
        <f>(D14/60)*0</f>
        <v>0</v>
      </c>
      <c r="N23" s="427">
        <f>IFERROR(J23*IF(AND(ISNUMBER(SEARCH(TEXT(C23,"ddd"),$G$11)),Data!$F$2),$G$14,$D$14)+K23*$G$14,"")</f>
        <v>888.75</v>
      </c>
      <c r="O23" s="141">
        <f t="shared" si="2"/>
        <v>888.75</v>
      </c>
      <c r="P23" s="150"/>
      <c r="Q23" s="89"/>
      <c r="R23" s="96">
        <v>1.0416666666666701E-2</v>
      </c>
    </row>
    <row r="24" spans="2:34">
      <c r="B24" s="432">
        <v>7</v>
      </c>
      <c r="C24" s="429">
        <f t="shared" si="3"/>
        <v>46283</v>
      </c>
      <c r="D24" s="430">
        <f t="shared" si="3"/>
        <v>46283</v>
      </c>
      <c r="E24" s="424">
        <v>0.33333333333333331</v>
      </c>
      <c r="F24" s="424">
        <v>0</v>
      </c>
      <c r="G24" s="424">
        <f t="shared" si="10"/>
        <v>0.33333333333333331</v>
      </c>
      <c r="H24" s="424">
        <v>0.75</v>
      </c>
      <c r="I24" s="425">
        <v>1</v>
      </c>
      <c r="J24" s="425">
        <f t="shared" si="11"/>
        <v>9</v>
      </c>
      <c r="K24" s="425">
        <v>0</v>
      </c>
      <c r="L24" s="426">
        <f>E24-B14</f>
        <v>0</v>
      </c>
      <c r="M24" s="423">
        <v>0</v>
      </c>
      <c r="N24" s="427">
        <f>IFERROR(J24*IF(AND(ISNUMBER(SEARCH(TEXT(C24,"ddd"),$G$11)),Data!$F$2),$G$14,$D$14)+K24*$G$14,"")</f>
        <v>888.75</v>
      </c>
      <c r="O24" s="141">
        <f t="shared" si="2"/>
        <v>888.75</v>
      </c>
      <c r="P24" s="155"/>
      <c r="Q24" s="89"/>
      <c r="R24" s="129">
        <f>R22-R23</f>
        <v>0.39444444444444432</v>
      </c>
    </row>
    <row r="25" spans="2:34">
      <c r="B25" s="432">
        <v>8</v>
      </c>
      <c r="C25" s="429">
        <f t="shared" si="3"/>
        <v>46284</v>
      </c>
      <c r="D25" s="430">
        <f t="shared" si="3"/>
        <v>46284</v>
      </c>
      <c r="E25" s="424">
        <v>0.40694444444444444</v>
      </c>
      <c r="F25" s="424">
        <v>0</v>
      </c>
      <c r="G25" s="424">
        <f t="shared" ref="G25:G29" si="13">E25-F25</f>
        <v>0.40694444444444444</v>
      </c>
      <c r="H25" s="424">
        <v>0.5</v>
      </c>
      <c r="I25" s="425">
        <v>0</v>
      </c>
      <c r="J25" s="425">
        <f t="shared" si="1"/>
        <v>2.2333333333333334</v>
      </c>
      <c r="K25" s="425">
        <f t="shared" si="4"/>
        <v>0</v>
      </c>
      <c r="L25" s="426">
        <f>E25-B14</f>
        <v>7.3611111111111127E-2</v>
      </c>
      <c r="M25" s="423">
        <f>(D14/60)*0</f>
        <v>0</v>
      </c>
      <c r="N25" s="427">
        <f>IFERROR(J25*IF(AND(ISNUMBER(SEARCH(TEXT(C25,"ddd"),$G$11)),Data!$F$2),$G$14,$D$14)+K25*$G$14,"")</f>
        <v>220.54166666666669</v>
      </c>
      <c r="O25" s="141">
        <f t="shared" si="2"/>
        <v>220.54166666666669</v>
      </c>
      <c r="P25" s="89"/>
      <c r="Q25" s="89"/>
    </row>
    <row r="26" spans="2:34">
      <c r="B26" s="432"/>
      <c r="C26" s="429">
        <f t="shared" si="3"/>
        <v>46285</v>
      </c>
      <c r="D26" s="430">
        <f t="shared" si="3"/>
        <v>46285</v>
      </c>
      <c r="E26" s="424">
        <v>0</v>
      </c>
      <c r="F26" s="424">
        <v>0</v>
      </c>
      <c r="G26" s="424">
        <f t="shared" si="13"/>
        <v>0</v>
      </c>
      <c r="H26" s="424">
        <v>0</v>
      </c>
      <c r="I26" s="425">
        <v>0</v>
      </c>
      <c r="J26" s="425">
        <f t="shared" ref="J26:J27" si="14">IFERROR(IF(AND(G26&lt;&gt;"",H26&lt;&gt;""),IF(G26&gt;$B$14+TIME($C$14,($C$14-INT($C$14))*60,0),0,IF(H26&gt;$B$14+TIME($C$14,($C$14-INT($C$14))*60,0),MIN(TIME($C$14,($C$14-INT($C$14))*60,0),($B$14+TIME($C$14,($C$14-INT($C$14))*60,0)-G26)),MIN(IF((H26-$B$14)&lt;0,0,(H26-$B$14)),(H26-G26))))*24,"")-I26,"")</f>
        <v>0</v>
      </c>
      <c r="K26" s="425">
        <f t="shared" ref="K26:K27" si="15">IF(AND(G26&lt;&gt;"",H26&lt;&gt;""),((IF(G26&lt;$B$14,MIN($B$14-G26,H26-G26),0)+IF(H26&gt;$B$14+TIME($C$14,($C$14-INT($C$14))*60,0),MIN((H26-$B$14-TIME($C$14,($C$14-INT($C$14))*60,0)),(H26-G26)),0))*24),"")</f>
        <v>0</v>
      </c>
      <c r="L26" s="97">
        <v>0</v>
      </c>
      <c r="M26" s="98">
        <f>(D14/60)*0</f>
        <v>0</v>
      </c>
      <c r="N26" s="251">
        <f>IFERROR(J26*IF(AND(ISNUMBER(SEARCH(TEXT(C26,"ddd"),$G$11)),Data!$F$2),$G$14,$D$14)+K26*$G$14,"")</f>
        <v>0</v>
      </c>
      <c r="O26" s="141">
        <f t="shared" si="2"/>
        <v>0</v>
      </c>
      <c r="P26" s="89"/>
      <c r="Q26" s="89"/>
    </row>
    <row r="27" spans="2:34">
      <c r="B27" s="432">
        <v>9</v>
      </c>
      <c r="C27" s="429">
        <f t="shared" si="3"/>
        <v>46286</v>
      </c>
      <c r="D27" s="430">
        <f t="shared" si="3"/>
        <v>46286</v>
      </c>
      <c r="E27" s="424">
        <v>0.33333333333333331</v>
      </c>
      <c r="F27" s="424">
        <v>0</v>
      </c>
      <c r="G27" s="424">
        <f t="shared" si="13"/>
        <v>0.33333333333333331</v>
      </c>
      <c r="H27" s="424">
        <v>0.75</v>
      </c>
      <c r="I27" s="425">
        <v>1</v>
      </c>
      <c r="J27" s="425">
        <f t="shared" si="14"/>
        <v>9</v>
      </c>
      <c r="K27" s="425">
        <f t="shared" si="15"/>
        <v>0</v>
      </c>
      <c r="L27" s="426">
        <v>0</v>
      </c>
      <c r="M27" s="423">
        <f>(D14/60)*0</f>
        <v>0</v>
      </c>
      <c r="N27" s="427">
        <f>IFERROR(J27*IF(AND(ISNUMBER(SEARCH(TEXT(C27,"ddd"),$G$11)),Data!$F$2),$G$14,$D$14)+K27*$G$14,"")</f>
        <v>888.75</v>
      </c>
      <c r="O27" s="141">
        <f t="shared" si="2"/>
        <v>888.75</v>
      </c>
      <c r="P27" s="127"/>
      <c r="Q27" s="89"/>
    </row>
    <row r="28" spans="2:34">
      <c r="B28" s="432">
        <v>10</v>
      </c>
      <c r="C28" s="429">
        <f t="shared" si="3"/>
        <v>46287</v>
      </c>
      <c r="D28" s="430">
        <f t="shared" si="3"/>
        <v>46287</v>
      </c>
      <c r="E28" s="424">
        <v>0.33333333333333331</v>
      </c>
      <c r="F28" s="424">
        <v>0</v>
      </c>
      <c r="G28" s="424">
        <f t="shared" ref="G28" si="16">E28-F28</f>
        <v>0.33333333333333331</v>
      </c>
      <c r="H28" s="424">
        <v>0.70833333333333337</v>
      </c>
      <c r="I28" s="425">
        <v>1</v>
      </c>
      <c r="J28" s="425">
        <f t="shared" ref="J28" si="17">IFERROR(IF(AND(G28&lt;&gt;"",H28&lt;&gt;""),IF(G28&gt;$B$14+TIME($C$14,($C$14-INT($C$14))*60,0),0,IF(H28&gt;$B$14+TIME($C$14,($C$14-INT($C$14))*60,0),MIN(TIME($C$14,($C$14-INT($C$14))*60,0),($B$14+TIME($C$14,($C$14-INT($C$14))*60,0)-G28)),MIN(IF((H28-$B$14)&lt;0,0,(H28-$B$14)),(H28-G28))))*24,"")-I28,"")</f>
        <v>8.0000000000000018</v>
      </c>
      <c r="K28" s="425">
        <f t="shared" ref="K28" si="18">IF(AND(G28&lt;&gt;"",H28&lt;&gt;""),((IF(G28&lt;$B$14,MIN($B$14-G28,H28-G28),0)+IF(H28&gt;$B$14+TIME($C$14,($C$14-INT($C$14))*60,0),MIN((H28-$B$14-TIME($C$14,($C$14-INT($C$14))*60,0)),(H28-G28)),0))*24),"")</f>
        <v>0</v>
      </c>
      <c r="L28" s="426">
        <v>0</v>
      </c>
      <c r="M28" s="423">
        <f>(D14/60)*0</f>
        <v>0</v>
      </c>
      <c r="N28" s="427">
        <f>IFERROR(J28*IF(AND(ISNUMBER(SEARCH(TEXT(C28,"ddd"),$G$11)),Data!$F$2),$G$14,$D$14)+K28*$G$14,"")</f>
        <v>790.00000000000023</v>
      </c>
      <c r="O28" s="141">
        <f t="shared" si="2"/>
        <v>790.00000000000023</v>
      </c>
      <c r="Q28" s="89"/>
    </row>
    <row r="29" spans="2:34">
      <c r="B29" s="432">
        <v>11</v>
      </c>
      <c r="C29" s="429">
        <f t="shared" si="3"/>
        <v>46288</v>
      </c>
      <c r="D29" s="430">
        <f t="shared" si="3"/>
        <v>46288</v>
      </c>
      <c r="E29" s="424">
        <v>0.33333333333333331</v>
      </c>
      <c r="F29" s="424">
        <v>0</v>
      </c>
      <c r="G29" s="424">
        <f t="shared" si="13"/>
        <v>0.33333333333333331</v>
      </c>
      <c r="H29" s="424">
        <v>0.74513888888888891</v>
      </c>
      <c r="I29" s="425">
        <v>1</v>
      </c>
      <c r="J29" s="425">
        <f t="shared" si="1"/>
        <v>8.8833333333333346</v>
      </c>
      <c r="K29" s="425">
        <v>0</v>
      </c>
      <c r="L29" s="426">
        <v>0</v>
      </c>
      <c r="M29" s="423">
        <f>(D14/60)*0</f>
        <v>0</v>
      </c>
      <c r="N29" s="427">
        <f>IFERROR(J29*IF(AND(ISNUMBER(SEARCH(TEXT(C29,"ddd"),$G$11)),Data!$F$2),$G$14,$D$14)+K29*$G$14,"")</f>
        <v>877.22916666666674</v>
      </c>
      <c r="O29" s="141">
        <f t="shared" si="2"/>
        <v>877.22916666666674</v>
      </c>
      <c r="P29" s="95">
        <f>O28-O29</f>
        <v>-87.229166666666515</v>
      </c>
      <c r="Q29" s="89"/>
    </row>
    <row r="30" spans="2:34">
      <c r="B30" s="432">
        <v>12</v>
      </c>
      <c r="C30" s="429">
        <f t="shared" si="3"/>
        <v>46289</v>
      </c>
      <c r="D30" s="430">
        <f t="shared" si="3"/>
        <v>46289</v>
      </c>
      <c r="E30" s="424">
        <v>0.33333333333333331</v>
      </c>
      <c r="F30" s="424">
        <v>0</v>
      </c>
      <c r="G30" s="424">
        <f>E30-F30</f>
        <v>0.33333333333333331</v>
      </c>
      <c r="H30" s="424">
        <v>0.75</v>
      </c>
      <c r="I30" s="425">
        <v>1</v>
      </c>
      <c r="J30" s="425">
        <f t="shared" si="1"/>
        <v>9</v>
      </c>
      <c r="K30" s="425">
        <v>0</v>
      </c>
      <c r="L30" s="426">
        <f>G30-B14</f>
        <v>0</v>
      </c>
      <c r="M30" s="423">
        <f>(D14/60)*0</f>
        <v>0</v>
      </c>
      <c r="N30" s="427">
        <f>IFERROR(J30*IF(AND(ISNUMBER(SEARCH(TEXT(C30,"ddd"),$G$11)),Data!$F$2),$G$14,$D$14)+K30*$G$14,"")</f>
        <v>888.75</v>
      </c>
      <c r="O30" s="141">
        <f t="shared" si="2"/>
        <v>888.75</v>
      </c>
      <c r="P30" s="127"/>
      <c r="Q30" s="89"/>
    </row>
    <row r="31" spans="2:34">
      <c r="B31" s="432">
        <v>13</v>
      </c>
      <c r="C31" s="429">
        <f t="shared" si="3"/>
        <v>46290</v>
      </c>
      <c r="D31" s="430">
        <f t="shared" si="3"/>
        <v>46290</v>
      </c>
      <c r="E31" s="424">
        <v>0.33333333333333331</v>
      </c>
      <c r="F31" s="424">
        <v>0</v>
      </c>
      <c r="G31" s="424">
        <f>E31-F31</f>
        <v>0.33333333333333331</v>
      </c>
      <c r="H31" s="424">
        <v>0.75</v>
      </c>
      <c r="I31" s="425">
        <v>1</v>
      </c>
      <c r="J31" s="425">
        <f t="shared" si="1"/>
        <v>9</v>
      </c>
      <c r="K31" s="425">
        <v>0</v>
      </c>
      <c r="L31" s="426">
        <f>G31-B14</f>
        <v>0</v>
      </c>
      <c r="M31" s="423">
        <f>(D14/60)*0</f>
        <v>0</v>
      </c>
      <c r="N31" s="427">
        <f>IFERROR(J31*IF(AND(ISNUMBER(SEARCH(TEXT(C31,"ddd"),$G$11)),Data!$F$2),$G$14,$D$14)+K31*$G$14,"")</f>
        <v>888.75</v>
      </c>
      <c r="O31" s="141">
        <f t="shared" si="2"/>
        <v>888.75</v>
      </c>
      <c r="P31" s="95">
        <f>O28-O31</f>
        <v>-98.749999999999773</v>
      </c>
    </row>
    <row r="32" spans="2:34">
      <c r="B32" s="441"/>
      <c r="C32" s="442"/>
      <c r="D32" s="443"/>
      <c r="E32" s="444"/>
      <c r="F32" s="444"/>
      <c r="G32" s="593" t="s">
        <v>182</v>
      </c>
      <c r="H32" s="594"/>
      <c r="I32" s="445">
        <f>SUM(I17:I31)</f>
        <v>11</v>
      </c>
      <c r="J32" s="445">
        <f>SUM(J17:J31)</f>
        <v>97.950000000000017</v>
      </c>
      <c r="K32" s="445">
        <f>SUM(K17:K31)</f>
        <v>0</v>
      </c>
      <c r="L32" s="446">
        <f>SUM(L17:L31)</f>
        <v>0.27569444444444452</v>
      </c>
      <c r="M32" s="447">
        <f>SUM(M17:M31)</f>
        <v>0</v>
      </c>
      <c r="N32" s="441"/>
      <c r="O32" s="165">
        <f>SUM(O17:O31)</f>
        <v>9672.5625</v>
      </c>
      <c r="P32" s="165">
        <f>SUM(P17:P31)</f>
        <v>-274.85416666666629</v>
      </c>
      <c r="Q32" s="95">
        <f>O32+P32</f>
        <v>9397.7083333333339</v>
      </c>
    </row>
    <row r="33" spans="2:17">
      <c r="B33" s="66"/>
      <c r="C33" s="76"/>
      <c r="D33" s="77"/>
      <c r="E33" s="144"/>
      <c r="F33" s="144"/>
      <c r="G33" s="81" t="s">
        <v>39</v>
      </c>
      <c r="H33" s="82"/>
      <c r="I33" s="83"/>
      <c r="J33" s="84"/>
      <c r="K33" s="116"/>
      <c r="L33" s="102">
        <f>(D14/60)*0</f>
        <v>0</v>
      </c>
      <c r="M33" s="118"/>
      <c r="N33" s="166">
        <f>(D14*H14)-N37</f>
        <v>10270</v>
      </c>
      <c r="O33" s="95"/>
      <c r="P33" s="95"/>
      <c r="Q33" s="95"/>
    </row>
    <row r="34" spans="2:17">
      <c r="B34" s="65"/>
      <c r="C34" s="65"/>
      <c r="D34" s="85"/>
      <c r="E34" s="85"/>
      <c r="F34" s="85"/>
      <c r="G34" s="592" t="s">
        <v>183</v>
      </c>
      <c r="H34" s="592"/>
      <c r="I34" s="80"/>
      <c r="J34" s="80">
        <f>H14-J32</f>
        <v>6.0499999999999829</v>
      </c>
      <c r="K34" s="65"/>
      <c r="L34" s="120"/>
      <c r="M34" s="65"/>
      <c r="N34" s="121">
        <f>M32</f>
        <v>0</v>
      </c>
      <c r="O34" s="151">
        <f>O32-O33</f>
        <v>9672.5625</v>
      </c>
      <c r="P34" s="95"/>
      <c r="Q34" s="95"/>
    </row>
    <row r="35" spans="2:17">
      <c r="B35" s="65"/>
      <c r="C35" s="65"/>
      <c r="D35" s="85"/>
      <c r="E35" s="145"/>
      <c r="F35" s="145"/>
      <c r="G35" s="78" t="s">
        <v>41</v>
      </c>
      <c r="H35" s="79"/>
      <c r="I35" s="66"/>
      <c r="J35" s="66"/>
      <c r="K35" s="80"/>
      <c r="L35" s="80"/>
      <c r="M35" s="80"/>
      <c r="N35" s="121">
        <f>N33-N34</f>
        <v>10270</v>
      </c>
      <c r="O35" s="95"/>
      <c r="P35" s="95"/>
      <c r="Q35" s="95"/>
    </row>
    <row r="36" spans="2:17">
      <c r="B36" s="65"/>
      <c r="C36" s="65"/>
      <c r="D36" s="85"/>
      <c r="E36" s="146"/>
      <c r="F36" s="146"/>
      <c r="G36" s="604" t="s">
        <v>184</v>
      </c>
      <c r="H36" s="605"/>
      <c r="I36" s="80"/>
      <c r="J36" s="66"/>
      <c r="K36" s="122"/>
      <c r="L36" s="122"/>
      <c r="M36" s="122"/>
      <c r="N36" s="123">
        <f>K32*G14</f>
        <v>0</v>
      </c>
      <c r="O36" s="95"/>
    </row>
    <row r="37" spans="2:17">
      <c r="B37" s="65"/>
      <c r="C37" s="65"/>
      <c r="D37" s="85"/>
      <c r="E37" s="146"/>
      <c r="F37" s="146"/>
      <c r="G37" s="86" t="s">
        <v>185</v>
      </c>
      <c r="H37" s="87"/>
      <c r="I37" s="80"/>
      <c r="J37" s="66"/>
      <c r="K37" s="122"/>
      <c r="L37" s="122"/>
      <c r="M37" s="122"/>
      <c r="N37" s="123">
        <v>0</v>
      </c>
      <c r="O37" s="95"/>
    </row>
    <row r="38" spans="2:17">
      <c r="B38" s="65"/>
      <c r="C38" s="65"/>
      <c r="D38" s="85"/>
      <c r="E38" s="145"/>
      <c r="F38" s="145"/>
      <c r="G38" s="597" t="s">
        <v>186</v>
      </c>
      <c r="H38" s="598"/>
      <c r="I38" s="66"/>
      <c r="J38" s="66"/>
      <c r="K38" s="66"/>
      <c r="L38" s="66"/>
      <c r="M38" s="66"/>
      <c r="N38" s="124">
        <f>N35+N36+N37</f>
        <v>10270</v>
      </c>
      <c r="O38" s="95"/>
    </row>
    <row r="39" spans="2:17">
      <c r="D39" s="88"/>
      <c r="E39" s="88"/>
      <c r="F39" s="88"/>
      <c r="G39" s="589"/>
      <c r="H39" s="589"/>
      <c r="I39" s="90"/>
      <c r="J39" s="90"/>
      <c r="K39" s="125"/>
      <c r="L39" s="125"/>
      <c r="M39" s="125"/>
      <c r="N39" s="126"/>
      <c r="O39" s="127"/>
    </row>
    <row r="40" spans="2:17">
      <c r="D40" s="91"/>
      <c r="E40" s="91"/>
      <c r="F40" s="91"/>
      <c r="M40" t="s">
        <v>196</v>
      </c>
    </row>
    <row r="41" spans="2:17">
      <c r="B41" s="590" t="s">
        <v>187</v>
      </c>
      <c r="C41" s="590"/>
      <c r="D41" s="590"/>
      <c r="E41" s="590"/>
      <c r="F41" s="590"/>
      <c r="G41" s="590"/>
      <c r="H41" s="590"/>
      <c r="I41" s="590"/>
      <c r="J41" s="590"/>
      <c r="K41" s="590"/>
      <c r="L41" s="590"/>
      <c r="M41" s="590"/>
      <c r="N41" s="590"/>
    </row>
    <row r="42" spans="2:17">
      <c r="D42" s="91"/>
      <c r="E42" s="91"/>
      <c r="F42" s="91"/>
    </row>
    <row r="43" spans="2:17">
      <c r="D43" s="91" t="s">
        <v>188</v>
      </c>
      <c r="E43" s="91"/>
      <c r="F43" s="91"/>
      <c r="N43" s="95"/>
    </row>
    <row r="44" spans="2:17">
      <c r="D44" s="54" t="s">
        <v>10</v>
      </c>
      <c r="E44" s="54"/>
      <c r="F44" s="54"/>
      <c r="G44" s="54" t="s">
        <v>11</v>
      </c>
      <c r="H44" s="54" t="s">
        <v>12</v>
      </c>
      <c r="I44" s="55" t="s">
        <v>13</v>
      </c>
    </row>
    <row r="45" spans="2:17">
      <c r="D45" s="56">
        <v>2026</v>
      </c>
      <c r="E45" s="56"/>
      <c r="F45" s="56"/>
      <c r="G45" s="56" t="s">
        <v>204</v>
      </c>
      <c r="H45" s="56">
        <v>12</v>
      </c>
      <c r="I45" s="56" t="s">
        <v>15</v>
      </c>
    </row>
    <row r="46" spans="2:17">
      <c r="D46" s="57"/>
      <c r="E46" s="57"/>
      <c r="F46" s="57"/>
      <c r="G46" s="57"/>
    </row>
    <row r="47" spans="2:17" ht="33.75">
      <c r="D47" s="159" t="s">
        <v>16</v>
      </c>
      <c r="E47" s="159"/>
      <c r="F47" s="159"/>
      <c r="G47" s="159" t="s">
        <v>17</v>
      </c>
      <c r="H47" s="159" t="s">
        <v>18</v>
      </c>
      <c r="I47" s="159" t="s">
        <v>19</v>
      </c>
    </row>
    <row r="48" spans="2:17">
      <c r="D48" s="61">
        <v>0.33333333333333298</v>
      </c>
      <c r="E48" s="61"/>
      <c r="F48" s="61"/>
      <c r="G48" s="62">
        <v>10</v>
      </c>
      <c r="H48" s="63">
        <f>D14</f>
        <v>98.75</v>
      </c>
      <c r="I48" s="130">
        <f>(H48*30%)+H48</f>
        <v>128.375</v>
      </c>
    </row>
    <row r="50" spans="3:14">
      <c r="C50" s="131" t="s">
        <v>20</v>
      </c>
      <c r="D50" s="131" t="s">
        <v>12</v>
      </c>
      <c r="E50" s="131"/>
      <c r="F50" s="131"/>
      <c r="G50" s="131" t="s">
        <v>21</v>
      </c>
      <c r="H50" s="131" t="s">
        <v>22</v>
      </c>
      <c r="I50" s="131" t="s">
        <v>23</v>
      </c>
      <c r="J50" s="131" t="s">
        <v>24</v>
      </c>
      <c r="K50" s="131" t="s">
        <v>25</v>
      </c>
      <c r="L50" s="131"/>
      <c r="M50" s="131"/>
      <c r="N50" s="131" t="s">
        <v>26</v>
      </c>
    </row>
    <row r="51" spans="3:14">
      <c r="C51" s="70" t="s">
        <v>353</v>
      </c>
      <c r="D51" s="71">
        <v>12</v>
      </c>
      <c r="E51" s="71"/>
      <c r="F51" s="71"/>
      <c r="G51" s="72">
        <v>0.33333333333333331</v>
      </c>
      <c r="H51" s="72">
        <v>0.75</v>
      </c>
      <c r="I51" s="73">
        <v>1</v>
      </c>
      <c r="J51" s="73">
        <f>IFERROR(IF(AND(G51&lt;&gt;"",H51&lt;&gt;""),IF(G51&gt;$B$14+TIME($C$14,($C$14-INT($C$14))*60,0),0,IF(H51&gt;$B$14+TIME($C$14,($C$14-INT($C$14))*60,0),MIN(TIME($C$14,($C$14-INT($C$14))*60,0),($B$14+TIME($C$14,($C$14-INT($C$14))*60,0)-G51)),MIN(IF((H51-$B$14)&lt;0,0,(H51-$B$14)),(H51-G51))))*24,"")-I51,"")</f>
        <v>9</v>
      </c>
      <c r="K51" s="73">
        <v>0</v>
      </c>
      <c r="L51" s="73"/>
      <c r="M51" s="73"/>
      <c r="N51" s="99">
        <f>J51*H48</f>
        <v>888.75</v>
      </c>
    </row>
    <row r="52" spans="3:14">
      <c r="C52" s="70" t="s">
        <v>445</v>
      </c>
      <c r="D52" s="71">
        <v>23</v>
      </c>
      <c r="E52" s="71"/>
      <c r="F52" s="71"/>
      <c r="G52" s="72">
        <v>0</v>
      </c>
      <c r="H52" s="72">
        <v>0</v>
      </c>
      <c r="I52" s="73">
        <v>0</v>
      </c>
      <c r="J52" s="73">
        <f>IFERROR(IF(AND(G52&lt;&gt;"",H52&lt;&gt;""),IF(G52&gt;$B$14+TIME($C$14,($C$14-INT($C$14))*60,0),0,IF(H52&gt;$B$14+TIME($C$14,($C$14-INT($C$14))*60,0),MIN(TIME($C$14,($C$14-INT($C$14))*60,0),($B$14+TIME($C$14,($C$14-INT($C$14))*60,0)-G52)),MIN(IF((H52-$B$14)&lt;0,0,(H52-$B$14)),(H52-G52))))*24,"")-I52,"")</f>
        <v>0</v>
      </c>
      <c r="K52" s="73">
        <v>0</v>
      </c>
      <c r="L52" s="73"/>
      <c r="M52" s="73"/>
      <c r="N52" s="99">
        <f>J52*H48</f>
        <v>0</v>
      </c>
    </row>
    <row r="53" spans="3:14"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318">
        <f>SUM(N51:N52)</f>
        <v>888.75</v>
      </c>
    </row>
    <row r="54" spans="3:14">
      <c r="N54" s="138"/>
    </row>
    <row r="55" spans="3:14">
      <c r="D55" s="132" t="s">
        <v>190</v>
      </c>
      <c r="E55" s="132"/>
      <c r="F55" s="132"/>
      <c r="G55" s="133"/>
      <c r="H55" s="133"/>
      <c r="I55" s="133"/>
      <c r="N55" s="138"/>
    </row>
    <row r="56" spans="3:14">
      <c r="D56" s="132"/>
      <c r="E56" s="132"/>
      <c r="F56" s="132"/>
      <c r="G56" s="133"/>
      <c r="H56" s="133"/>
      <c r="I56" s="133"/>
      <c r="N56" s="138"/>
    </row>
    <row r="57" spans="3:14">
      <c r="D57" s="132"/>
      <c r="E57" s="132"/>
      <c r="F57" s="132"/>
      <c r="G57" s="133"/>
      <c r="H57" s="133"/>
      <c r="I57" s="133"/>
      <c r="N57" s="138"/>
    </row>
    <row r="58" spans="3:14">
      <c r="D58" s="591">
        <v>44981</v>
      </c>
      <c r="E58" s="591"/>
      <c r="F58" s="591"/>
      <c r="G58" s="88"/>
      <c r="H58" s="148" t="s">
        <v>280</v>
      </c>
      <c r="I58" s="254"/>
      <c r="N58" s="138"/>
    </row>
    <row r="59" spans="3:14">
      <c r="E59" s="88"/>
      <c r="F59" s="88"/>
      <c r="G59" s="88">
        <f>G58*H59</f>
        <v>0</v>
      </c>
      <c r="H59" s="253">
        <v>0.3</v>
      </c>
      <c r="I59" s="254"/>
      <c r="N59" s="138"/>
    </row>
    <row r="60" spans="3:14">
      <c r="E60" s="91"/>
      <c r="F60" s="91"/>
      <c r="G60" s="91"/>
      <c r="N60" s="138"/>
    </row>
    <row r="61" spans="3:14">
      <c r="E61" s="91"/>
      <c r="F61" s="91"/>
      <c r="G61" s="91"/>
      <c r="H61" s="91">
        <f>G59</f>
        <v>0</v>
      </c>
      <c r="N61" s="138"/>
    </row>
    <row r="62" spans="3:14">
      <c r="E62" s="91"/>
      <c r="F62" s="91"/>
      <c r="G62" s="91"/>
      <c r="N62" s="138"/>
    </row>
    <row r="63" spans="3:14">
      <c r="N63" s="138"/>
    </row>
    <row r="64" spans="3:14">
      <c r="D64" s="132"/>
      <c r="E64" s="132"/>
      <c r="F64" s="132"/>
      <c r="G64" s="133"/>
      <c r="H64" s="133"/>
      <c r="I64" s="133"/>
    </row>
    <row r="65" spans="3:14">
      <c r="D65" s="132"/>
      <c r="E65" s="132"/>
      <c r="F65" s="132"/>
      <c r="G65" s="133"/>
      <c r="H65" s="133"/>
      <c r="I65" s="133"/>
    </row>
    <row r="66" spans="3:14">
      <c r="D66" s="132" t="s">
        <v>190</v>
      </c>
      <c r="E66" s="132"/>
      <c r="F66" s="132"/>
      <c r="G66" s="133"/>
      <c r="H66" s="133"/>
      <c r="I66" s="133"/>
    </row>
    <row r="67" spans="3:14">
      <c r="D67" s="54" t="s">
        <v>10</v>
      </c>
      <c r="E67" s="54"/>
      <c r="F67" s="54"/>
      <c r="G67" s="54" t="s">
        <v>11</v>
      </c>
      <c r="H67" s="54" t="s">
        <v>12</v>
      </c>
      <c r="I67" s="55" t="s">
        <v>13</v>
      </c>
    </row>
    <row r="68" spans="3:14">
      <c r="D68" s="56">
        <v>2022</v>
      </c>
      <c r="E68" s="56"/>
      <c r="F68" s="56"/>
      <c r="G68" s="56" t="s">
        <v>189</v>
      </c>
      <c r="H68" s="56">
        <v>27</v>
      </c>
      <c r="I68" s="56" t="s">
        <v>15</v>
      </c>
    </row>
    <row r="69" spans="3:14">
      <c r="D69" s="57"/>
      <c r="E69" s="57"/>
      <c r="F69" s="57"/>
      <c r="G69" s="57"/>
    </row>
    <row r="70" spans="3:14" ht="33.75">
      <c r="D70" s="159" t="s">
        <v>16</v>
      </c>
      <c r="E70" s="159"/>
      <c r="F70" s="159"/>
      <c r="G70" s="159" t="s">
        <v>17</v>
      </c>
      <c r="H70" s="159" t="s">
        <v>191</v>
      </c>
      <c r="I70" s="167"/>
      <c r="J70" t="s">
        <v>192</v>
      </c>
    </row>
    <row r="71" spans="3:14">
      <c r="D71" s="61">
        <v>0.33333333333333298</v>
      </c>
      <c r="E71" s="61"/>
      <c r="F71" s="61"/>
      <c r="G71" s="62">
        <v>9</v>
      </c>
      <c r="H71" s="63">
        <v>45.63</v>
      </c>
      <c r="I71" s="130"/>
    </row>
    <row r="73" spans="3:14"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</row>
    <row r="74" spans="3:14">
      <c r="C74" s="131"/>
      <c r="D74" s="131" t="s">
        <v>12</v>
      </c>
      <c r="E74" s="131"/>
      <c r="F74" s="131"/>
      <c r="G74" s="131" t="s">
        <v>21</v>
      </c>
      <c r="H74" s="131" t="s">
        <v>22</v>
      </c>
      <c r="I74" s="131" t="s">
        <v>23</v>
      </c>
      <c r="J74" s="131" t="s">
        <v>24</v>
      </c>
      <c r="K74" s="131" t="s">
        <v>25</v>
      </c>
      <c r="L74" s="131"/>
      <c r="M74" s="131"/>
      <c r="N74" s="131" t="s">
        <v>26</v>
      </c>
    </row>
    <row r="75" spans="3:14">
      <c r="C75" s="70" t="s">
        <v>193</v>
      </c>
      <c r="D75" s="71">
        <v>27</v>
      </c>
      <c r="E75" s="71"/>
      <c r="F75" s="71"/>
      <c r="G75" s="72">
        <v>0</v>
      </c>
      <c r="H75" s="72">
        <v>0</v>
      </c>
      <c r="I75" s="73"/>
      <c r="J75" s="73">
        <f>IFERROR(IF(AND(G75&lt;&gt;"",H75&lt;&gt;""),IF(G75&gt;$B$14+TIME($C$14,($C$14-INT($C$14))*60,0),0,IF(H75&gt;$B$14+TIME($C$14,($C$14-INT($C$14))*60,0),MIN(TIME($C$14,($C$14-INT($C$14))*60,0),($B$14+TIME($C$14,($C$14-INT($C$14))*60,0)-G75)),MIN(IF((H75-$B$14)&lt;0,0,(H75-$B$14)),(H75-G75))))*24,"")-I75,"")</f>
        <v>0</v>
      </c>
      <c r="K75" s="73">
        <f>IF(AND(G75&lt;&gt;"",H75&lt;&gt;""),((IF(G75&lt;$B$14,MIN($B$14-G75,H75-G75),0)+IF(H75&gt;$B$14+TIME($C$14,($C$14-INT($C$14))*60,0),MIN((H75-$B$14-TIME($C$14,($C$14-INT($C$14))*60,0)),(H75-G75)),0))*24),"")</f>
        <v>0</v>
      </c>
      <c r="L75" s="110"/>
      <c r="M75" s="102"/>
      <c r="N75" s="99">
        <f>(H71+(H71*169%))*K75</f>
        <v>0</v>
      </c>
    </row>
    <row r="76" spans="3:14">
      <c r="C76" s="70" t="s">
        <v>193</v>
      </c>
      <c r="D76" s="71">
        <v>3</v>
      </c>
      <c r="E76" s="71"/>
      <c r="F76" s="71"/>
      <c r="G76" s="72">
        <v>0</v>
      </c>
      <c r="H76" s="72">
        <v>0</v>
      </c>
      <c r="I76" s="73"/>
      <c r="J76" s="73">
        <f>IFERROR(IF(AND(G76&lt;&gt;"",H76&lt;&gt;""),IF(G76&gt;$B$14+TIME($C$14,($C$14-INT($C$14))*60,0),0,IF(H76&gt;$B$14+TIME($C$14,($C$14-INT($C$14))*60,0),MIN(TIME($C$14,($C$14-INT($C$14))*60,0),($B$14+TIME($C$14,($C$14-INT($C$14))*60,0)-G76)),MIN(IF((H76-$B$14)&lt;0,0,(H76-$B$14)),(H76-G76))))*24,"")-I76,"")</f>
        <v>0</v>
      </c>
      <c r="K76" s="73">
        <f>IF(AND(G76&lt;&gt;"",H76&lt;&gt;""),((IF(G76&lt;$D$48,MIN($D$48-G76,H76-G76),0)+IF(H76&gt;$D$48+TIME($G$48,($G$48-INT($G$48))*60,0),MIN((H76-$D$48-TIME($G$48,($G$48-INT($G$48))*60,0)),(H76-G76)),0))*24),"")</f>
        <v>0</v>
      </c>
      <c r="L76" s="73"/>
      <c r="M76" s="73"/>
      <c r="N76" s="99">
        <f>(H71+(H71*169%))*K76</f>
        <v>0</v>
      </c>
    </row>
    <row r="77" spans="3:14">
      <c r="C77" s="70"/>
      <c r="D77" s="71"/>
      <c r="E77" s="71"/>
      <c r="F77" s="71"/>
      <c r="G77" s="72"/>
      <c r="H77" s="72"/>
      <c r="I77" s="73"/>
      <c r="J77" s="73"/>
      <c r="K77" s="73"/>
      <c r="L77" s="73"/>
      <c r="M77" s="73"/>
      <c r="N77" s="99"/>
    </row>
    <row r="78" spans="3:14"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137">
        <f>SUM(N75:N76)</f>
        <v>0</v>
      </c>
    </row>
    <row r="79" spans="3:14">
      <c r="G79" s="606"/>
      <c r="H79" s="606"/>
    </row>
    <row r="82" spans="3:3">
      <c r="C82" s="91" t="s">
        <v>141</v>
      </c>
    </row>
    <row r="83" spans="3:3">
      <c r="C83" t="s">
        <v>66</v>
      </c>
    </row>
    <row r="84" spans="3:3">
      <c r="C84" s="91"/>
    </row>
  </sheetData>
  <mergeCells count="13">
    <mergeCell ref="G79:H79"/>
    <mergeCell ref="A6:N6"/>
    <mergeCell ref="C7:D7"/>
    <mergeCell ref="M7:O7"/>
    <mergeCell ref="C8:D8"/>
    <mergeCell ref="M8:O8"/>
    <mergeCell ref="G32:H32"/>
    <mergeCell ref="G34:H34"/>
    <mergeCell ref="G36:H36"/>
    <mergeCell ref="G38:H38"/>
    <mergeCell ref="G39:H39"/>
    <mergeCell ref="B41:N41"/>
    <mergeCell ref="D58:F58"/>
  </mergeCells>
  <conditionalFormatting sqref="C17:D17">
    <cfRule type="expression" dxfId="209" priority="86">
      <formula>ISNUMBER(SEARCH(TEXT($B17,"ddd"),$F$10))</formula>
    </cfRule>
  </conditionalFormatting>
  <conditionalFormatting sqref="C18:D31 G28:K28 I75:L75 G75:H76 C75:F77 N75:N77 I76 J76:M77 G77:I77">
    <cfRule type="expression" dxfId="208" priority="164">
      <formula>ISNUMBER(SEARCH(TEXT($C18,"ddd"),$G$11))</formula>
    </cfRule>
  </conditionalFormatting>
  <conditionalFormatting sqref="C51:N52">
    <cfRule type="expression" dxfId="207" priority="4">
      <formula>ISNUMBER(SEARCH(TEXT($C51,"ddd"),$G$11))</formula>
    </cfRule>
  </conditionalFormatting>
  <conditionalFormatting sqref="E17:F31">
    <cfRule type="expression" dxfId="206" priority="14">
      <formula>ISNUMBER(SEARCH(TEXT($C17,"ddd"),$G$11))</formula>
    </cfRule>
  </conditionalFormatting>
  <conditionalFormatting sqref="G17:G27 I17:K27">
    <cfRule type="expression" dxfId="205" priority="63">
      <formula>ISNUMBER(SEARCH(TEXT($C17,"ddd"),$G$11))</formula>
    </cfRule>
  </conditionalFormatting>
  <conditionalFormatting sqref="G29:G31 I29:K31">
    <cfRule type="expression" dxfId="204" priority="39">
      <formula>ISNUMBER(SEARCH(TEXT($C29,"ddd"),$G$11))</formula>
    </cfRule>
  </conditionalFormatting>
  <conditionalFormatting sqref="H17:H31">
    <cfRule type="expression" dxfId="203" priority="1">
      <formula>ISNUMBER(SEARCH(TEXT($C17,"ddd"),$G$11))</formula>
    </cfRule>
  </conditionalFormatting>
  <conditionalFormatting sqref="N17:N31">
    <cfRule type="expression" dxfId="202" priority="87">
      <formula>ISNUMBER(SEARCH(TEXT($B17,"ddd"),$F$10))</formula>
    </cfRule>
  </conditionalFormatting>
  <dataValidations count="5">
    <dataValidation type="list" allowBlank="1" showInputMessage="1" showErrorMessage="1" sqref="H68 E11:F11" xr:uid="{00000000-0002-0000-1900-000000000000}">
      <formula1>GUERZO!DateCalc</formula1>
    </dataValidation>
    <dataValidation type="custom" allowBlank="1" showInputMessage="1" showErrorMessage="1" sqref="G75:G77 G51:G52 E17:G31" xr:uid="{00000000-0002-0000-1900-000001000000}">
      <formula1>AND($G17&lt;=1,ISNUMBER($G17))</formula1>
    </dataValidation>
    <dataValidation type="custom" allowBlank="1" showInputMessage="1" showErrorMessage="1" sqref="H75:H77 H51:H52 H17:H31" xr:uid="{00000000-0002-0000-1900-000002000000}">
      <formula1>AND($H17&lt;=1,ISNUMBER($H17),($H17&gt;=$G17))</formula1>
    </dataValidation>
    <dataValidation type="list" allowBlank="1" showInputMessage="1" showErrorMessage="1" sqref="D11 H45" xr:uid="{00000000-0002-0000-1900-000003000000}">
      <formula1>DateCalc</formula1>
    </dataValidation>
    <dataValidation type="list" allowBlank="1" showInputMessage="1" showErrorMessage="1" sqref="I68 G11 D68:G68" xr:uid="{00000000-0002-0000-1900-000004000000}"/>
  </dataValidations>
  <pageMargins left="0.32229166666666664" right="0.25" top="0.359722222222222" bottom="0.39791666666666697" header="0.29861111111111099" footer="0.29861111111111099"/>
  <pageSetup paperSize="9" scale="91" orientation="landscape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2689" r:id="rId4" name="Check Box 1">
              <controlPr defaultSize="0" print="0" autoPict="0">
                <anchor moveWithCells="1">
                  <from>
                    <xdr:col>8</xdr:col>
                    <xdr:colOff>0</xdr:colOff>
                    <xdr:row>9</xdr:row>
                    <xdr:rowOff>66675</xdr:rowOff>
                  </from>
                  <to>
                    <xdr:col>9</xdr:col>
                    <xdr:colOff>0</xdr:colOff>
                    <xdr:row>12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900-000005000000}">
          <x14:formula1>
            <xm:f>Data!$B$2:$B$13</xm:f>
          </x14:formula1>
          <xm:sqref>C11 G45</xm:sqref>
        </x14:dataValidation>
        <x14:dataValidation type="list" allowBlank="1" showInputMessage="1" showErrorMessage="1" xr:uid="{00000000-0002-0000-1900-000006000000}">
          <x14:formula1>
            <xm:f>Data!$A$2:$A$15</xm:f>
          </x14:formula1>
          <xm:sqref>B11 D45:F45</xm:sqref>
        </x14:dataValidation>
        <x14:dataValidation type="list" allowBlank="1" showInputMessage="1" showErrorMessage="1" xr:uid="{00000000-0002-0000-1900-000007000000}">
          <x14:formula1>
            <xm:f>Data!$D$2:$D$16</xm:f>
          </x14:formula1>
          <xm:sqref>I45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5:AH84"/>
  <sheetViews>
    <sheetView showGridLines="0" view="pageLayout" topLeftCell="A10" zoomScaleNormal="100" workbookViewId="0">
      <selection activeCell="M40" sqref="M40"/>
    </sheetView>
  </sheetViews>
  <sheetFormatPr defaultColWidth="9" defaultRowHeight="12.75"/>
  <cols>
    <col min="1" max="1" width="1.625" customWidth="1"/>
    <col min="2" max="2" width="5.375" customWidth="1"/>
    <col min="3" max="3" width="7.125" customWidth="1"/>
    <col min="4" max="6" width="7.625" customWidth="1"/>
    <col min="7" max="7" width="10.125" customWidth="1"/>
    <col min="8" max="8" width="9.625" customWidth="1"/>
    <col min="9" max="9" width="8.125" customWidth="1"/>
    <col min="10" max="10" width="10.125" customWidth="1"/>
    <col min="11" max="11" width="7.875" customWidth="1"/>
    <col min="12" max="12" width="10.125" customWidth="1"/>
    <col min="13" max="13" width="10.375" customWidth="1"/>
    <col min="14" max="14" width="12" customWidth="1"/>
    <col min="15" max="15" width="16.875" customWidth="1"/>
    <col min="16" max="16" width="9.125" bestFit="1" customWidth="1"/>
    <col min="17" max="17" width="10.5" bestFit="1" customWidth="1"/>
    <col min="18" max="18" width="11.125" customWidth="1"/>
  </cols>
  <sheetData>
    <row r="5" spans="1:15" ht="25.5" customHeight="1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15" s="47" customFormat="1" ht="25.5" customHeight="1">
      <c r="A6" s="603"/>
      <c r="B6" s="603"/>
      <c r="C6" s="603"/>
      <c r="D6" s="603"/>
      <c r="E6" s="603"/>
      <c r="F6" s="603"/>
      <c r="G6" s="603"/>
      <c r="H6" s="603"/>
      <c r="I6" s="603"/>
      <c r="J6" s="603"/>
      <c r="K6" s="603"/>
      <c r="L6" s="603"/>
      <c r="M6" s="603"/>
      <c r="N6" s="603"/>
    </row>
    <row r="7" spans="1:15" ht="18.75" customHeight="1">
      <c r="C7" s="527" t="s">
        <v>3</v>
      </c>
      <c r="D7" s="527"/>
      <c r="E7" s="49"/>
      <c r="F7" s="49"/>
      <c r="G7" s="50" t="s">
        <v>221</v>
      </c>
      <c r="H7" s="51"/>
      <c r="K7" s="49" t="s">
        <v>174</v>
      </c>
      <c r="M7" s="599" t="str">
        <f>PAALAN!L7</f>
        <v>September  11-25, 2026</v>
      </c>
      <c r="N7" s="599"/>
      <c r="O7" s="599"/>
    </row>
    <row r="8" spans="1:15" ht="18.75" customHeight="1">
      <c r="C8" s="527" t="s">
        <v>175</v>
      </c>
      <c r="D8" s="527"/>
      <c r="E8" s="49"/>
      <c r="F8" s="49"/>
      <c r="G8" s="50" t="s">
        <v>222</v>
      </c>
      <c r="H8" s="51"/>
      <c r="K8" s="49" t="s">
        <v>176</v>
      </c>
      <c r="L8" s="92"/>
      <c r="M8" s="600" t="str">
        <f>PAALAN!L8</f>
        <v>9/31/2026</v>
      </c>
      <c r="N8" s="600"/>
      <c r="O8" s="600"/>
    </row>
    <row r="9" spans="1:15">
      <c r="C9" s="52"/>
      <c r="D9" s="53"/>
      <c r="E9" s="53"/>
      <c r="F9" s="53"/>
      <c r="G9" s="53"/>
    </row>
    <row r="10" spans="1:15">
      <c r="B10" s="54" t="s">
        <v>10</v>
      </c>
      <c r="C10" s="54" t="s">
        <v>11</v>
      </c>
      <c r="D10" s="54" t="s">
        <v>12</v>
      </c>
      <c r="E10" s="54"/>
      <c r="F10" s="54"/>
      <c r="G10" s="55" t="s">
        <v>13</v>
      </c>
    </row>
    <row r="11" spans="1:15">
      <c r="B11" s="56">
        <v>2026</v>
      </c>
      <c r="C11" s="56" t="s">
        <v>177</v>
      </c>
      <c r="D11" s="56">
        <v>11</v>
      </c>
      <c r="E11" s="56"/>
      <c r="F11" s="56"/>
      <c r="G11" s="56" t="s">
        <v>178</v>
      </c>
    </row>
    <row r="12" spans="1:15">
      <c r="B12" s="57"/>
      <c r="C12" s="57"/>
      <c r="H12" s="57"/>
      <c r="K12" s="57"/>
      <c r="L12" s="57"/>
      <c r="M12" s="57"/>
    </row>
    <row r="13" spans="1:15" ht="32.1" customHeight="1">
      <c r="B13" s="159" t="s">
        <v>16</v>
      </c>
      <c r="C13" s="159" t="s">
        <v>17</v>
      </c>
      <c r="D13" s="159" t="s">
        <v>18</v>
      </c>
      <c r="E13" s="160"/>
      <c r="F13" s="160"/>
      <c r="G13" s="160" t="s">
        <v>19</v>
      </c>
      <c r="H13" s="161" t="s">
        <v>179</v>
      </c>
      <c r="L13" s="93"/>
      <c r="M13" s="93"/>
      <c r="N13" s="94"/>
    </row>
    <row r="14" spans="1:15">
      <c r="B14" s="61">
        <v>0.33333333333333331</v>
      </c>
      <c r="C14" s="62">
        <v>10</v>
      </c>
      <c r="D14" s="63">
        <f>(17040/26)/8</f>
        <v>81.92307692307692</v>
      </c>
      <c r="E14" s="142"/>
      <c r="F14" s="142"/>
      <c r="G14" s="64"/>
      <c r="H14" s="65">
        <v>104</v>
      </c>
      <c r="I14" s="95"/>
      <c r="L14" s="57"/>
      <c r="M14" s="57"/>
      <c r="N14" s="95"/>
    </row>
    <row r="15" spans="1:15">
      <c r="N15" s="96"/>
    </row>
    <row r="16" spans="1:15" ht="23.25">
      <c r="B16" s="66"/>
      <c r="C16" s="67" t="s">
        <v>20</v>
      </c>
      <c r="D16" s="67" t="s">
        <v>12</v>
      </c>
      <c r="E16" s="67"/>
      <c r="F16" s="67"/>
      <c r="G16" s="67" t="s">
        <v>21</v>
      </c>
      <c r="H16" s="67" t="s">
        <v>22</v>
      </c>
      <c r="I16" s="68" t="s">
        <v>23</v>
      </c>
      <c r="J16" s="68" t="s">
        <v>24</v>
      </c>
      <c r="K16" s="68" t="s">
        <v>25</v>
      </c>
      <c r="L16" s="67" t="s">
        <v>180</v>
      </c>
      <c r="M16" s="134" t="s">
        <v>181</v>
      </c>
      <c r="N16" s="67" t="s">
        <v>26</v>
      </c>
    </row>
    <row r="17" spans="2:34">
      <c r="B17" s="432">
        <v>1</v>
      </c>
      <c r="C17" s="429">
        <f>DATE($B$11,MATCH($C$11,Data!$B$2:$B$13,0),MACATANGAY!$D$11)</f>
        <v>46276</v>
      </c>
      <c r="D17" s="430">
        <f>DATE($B$11,MATCH($C$11,Data!$B$2:$B$13,0),MACATANGAY!$D$11)</f>
        <v>46276</v>
      </c>
      <c r="E17" s="424">
        <v>0.33333333333333331</v>
      </c>
      <c r="F17" s="424">
        <v>0</v>
      </c>
      <c r="G17" s="424">
        <f t="shared" ref="G17:G22" si="0">E17-F17</f>
        <v>0.33333333333333331</v>
      </c>
      <c r="H17" s="424">
        <v>0.75</v>
      </c>
      <c r="I17" s="425">
        <v>1</v>
      </c>
      <c r="J17" s="425">
        <f t="shared" ref="J17:J27" si="1">IFERROR(IF(AND(G17&lt;&gt;"",H17&lt;&gt;""),IF(G17&gt;$B$14+TIME($C$14,($C$14-INT($C$14))*60,0),0,IF(H17&gt;$B$14+TIME($C$14,($C$14-INT($C$14))*60,0),MIN(TIME($C$14,($C$14-INT($C$14))*60,0),($B$14+TIME($C$14,($C$14-INT($C$14))*60,0)-G17)),MIN(IF((H17-$B$14)&lt;0,0,(H17-$B$14)),(H17-G17))))*24,"")-I17,"")</f>
        <v>9</v>
      </c>
      <c r="K17" s="425">
        <v>0</v>
      </c>
      <c r="L17" s="426">
        <f>G17-B14</f>
        <v>0</v>
      </c>
      <c r="M17" s="423">
        <f>(D14/60)*0</f>
        <v>0</v>
      </c>
      <c r="N17" s="427">
        <f>IFERROR(J17*IF(AND(ISNUMBER(SEARCH(TEXT(C17,"ddd"),$G$11)),Data!$F$2),$G$14,$D$14)+K17*$G$14,"")</f>
        <v>737.30769230769226</v>
      </c>
      <c r="O17" s="141">
        <f t="shared" ref="O17:O31" si="2">M17+N17</f>
        <v>737.30769230769226</v>
      </c>
      <c r="P17" s="100"/>
      <c r="Q17" s="89"/>
    </row>
    <row r="18" spans="2:34">
      <c r="B18" s="432">
        <v>2</v>
      </c>
      <c r="C18" s="429">
        <f t="shared" ref="C18:D31" si="3">C17+1</f>
        <v>46277</v>
      </c>
      <c r="D18" s="430">
        <f>D17+1</f>
        <v>46277</v>
      </c>
      <c r="E18" s="424">
        <v>0.375</v>
      </c>
      <c r="F18" s="424">
        <v>0</v>
      </c>
      <c r="G18" s="424">
        <f t="shared" si="0"/>
        <v>0.375</v>
      </c>
      <c r="H18" s="424">
        <v>0.5</v>
      </c>
      <c r="I18" s="425">
        <v>0</v>
      </c>
      <c r="J18" s="425">
        <f t="shared" si="1"/>
        <v>3</v>
      </c>
      <c r="K18" s="425">
        <f t="shared" ref="K18:K25" si="4">IF(AND(G18&lt;&gt;"",H18&lt;&gt;""),((IF(G18&lt;$B$14,MIN($B$14-G18,H18-G18),0)+IF(H18&gt;$B$14+TIME($C$14,($C$14-INT($C$14))*60,0),MIN((H18-$B$14-TIME($C$14,($C$14-INT($C$14))*60,0)),(H18-G18)),0))*24),"")</f>
        <v>0</v>
      </c>
      <c r="L18" s="426">
        <f>E18-B14</f>
        <v>4.1666666666666685E-2</v>
      </c>
      <c r="M18" s="423">
        <f>(D14/60)*0</f>
        <v>0</v>
      </c>
      <c r="N18" s="427">
        <f>IFERROR(J18*IF(AND(ISNUMBER(SEARCH(TEXT(C18,"ddd"),$G$11)),Data!$F$2),$G$14,$D$14)+K18*$G$14,"")</f>
        <v>245.76923076923077</v>
      </c>
      <c r="O18" s="141">
        <f t="shared" si="2"/>
        <v>245.76923076923077</v>
      </c>
      <c r="P18" s="89"/>
      <c r="Q18" s="89"/>
    </row>
    <row r="19" spans="2:34">
      <c r="B19" s="432"/>
      <c r="C19" s="429">
        <f t="shared" si="3"/>
        <v>46278</v>
      </c>
      <c r="D19" s="430">
        <f t="shared" si="3"/>
        <v>46278</v>
      </c>
      <c r="E19" s="424">
        <v>0</v>
      </c>
      <c r="F19" s="424">
        <v>0</v>
      </c>
      <c r="G19" s="424">
        <f t="shared" si="0"/>
        <v>0</v>
      </c>
      <c r="H19" s="424">
        <v>0</v>
      </c>
      <c r="I19" s="425">
        <v>0</v>
      </c>
      <c r="J19" s="425">
        <f t="shared" ref="J19" si="5">IFERROR(IF(AND(G19&lt;&gt;"",H19&lt;&gt;""),IF(G19&gt;$B$14+TIME($C$14,($C$14-INT($C$14))*60,0),0,IF(H19&gt;$B$14+TIME($C$14,($C$14-INT($C$14))*60,0),MIN(TIME($C$14,($C$14-INT($C$14))*60,0),($B$14+TIME($C$14,($C$14-INT($C$14))*60,0)-G19)),MIN(IF((H19-$B$14)&lt;0,0,(H19-$B$14)),(H19-G19))))*24,"")-I19,"")</f>
        <v>0</v>
      </c>
      <c r="K19" s="425">
        <f t="shared" ref="K19" si="6">IF(AND(G19&lt;&gt;"",H19&lt;&gt;""),((IF(G19&lt;$B$14,MIN($B$14-G19,H19-G19),0)+IF(H19&gt;$B$14+TIME($C$14,($C$14-INT($C$14))*60,0),MIN((H19-$B$14-TIME($C$14,($C$14-INT($C$14))*60,0)),(H19-G19)),0))*24),"")</f>
        <v>0</v>
      </c>
      <c r="L19" s="97">
        <v>0</v>
      </c>
      <c r="M19" s="98">
        <f>(D14/60)*0</f>
        <v>0</v>
      </c>
      <c r="N19" s="251">
        <f>IFERROR(J19*IF(AND(ISNUMBER(SEARCH(TEXT(C19,"ddd"),$G$11)),Data!$F$2),$G$14,$D$14)+K19*$G$14,"")</f>
        <v>0</v>
      </c>
      <c r="O19" s="141">
        <f t="shared" si="2"/>
        <v>0</v>
      </c>
      <c r="P19" s="100"/>
      <c r="Q19" s="104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</row>
    <row r="20" spans="2:34">
      <c r="B20" s="432">
        <v>3</v>
      </c>
      <c r="C20" s="429">
        <f t="shared" si="3"/>
        <v>46279</v>
      </c>
      <c r="D20" s="430">
        <f t="shared" si="3"/>
        <v>46279</v>
      </c>
      <c r="E20" s="424">
        <v>0.33333333333333331</v>
      </c>
      <c r="F20" s="424">
        <v>0</v>
      </c>
      <c r="G20" s="424">
        <f t="shared" si="0"/>
        <v>0.33333333333333331</v>
      </c>
      <c r="H20" s="424">
        <v>0.75</v>
      </c>
      <c r="I20" s="425">
        <v>1</v>
      </c>
      <c r="J20" s="425">
        <f t="shared" si="1"/>
        <v>9</v>
      </c>
      <c r="K20" s="425">
        <f t="shared" si="4"/>
        <v>0</v>
      </c>
      <c r="L20" s="426">
        <f>G20-B14</f>
        <v>0</v>
      </c>
      <c r="M20" s="423">
        <f>(D14/60)*0</f>
        <v>0</v>
      </c>
      <c r="N20" s="427">
        <f>IFERROR(J20*IF(AND(ISNUMBER(SEARCH(TEXT(C20,"ddd"),$G$11)),Data!$F$2),$G$14,$D$14)+K20*$G$14,"")</f>
        <v>737.30769230769226</v>
      </c>
      <c r="O20" s="141">
        <f t="shared" si="2"/>
        <v>737.30769230769226</v>
      </c>
      <c r="P20" s="103"/>
      <c r="Q20" s="103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28"/>
    </row>
    <row r="21" spans="2:34">
      <c r="B21" s="432">
        <v>4</v>
      </c>
      <c r="C21" s="429">
        <f t="shared" si="3"/>
        <v>46280</v>
      </c>
      <c r="D21" s="430">
        <f t="shared" si="3"/>
        <v>46280</v>
      </c>
      <c r="E21" s="424">
        <v>0.33333333333333331</v>
      </c>
      <c r="F21" s="424">
        <v>0</v>
      </c>
      <c r="G21" s="424">
        <f t="shared" ref="G21" si="7">E21-F21</f>
        <v>0.33333333333333331</v>
      </c>
      <c r="H21" s="424">
        <v>0.75</v>
      </c>
      <c r="I21" s="425">
        <v>1</v>
      </c>
      <c r="J21" s="425">
        <f t="shared" ref="J21" si="8">IFERROR(IF(AND(G21&lt;&gt;"",H21&lt;&gt;""),IF(G21&gt;$B$14+TIME($C$14,($C$14-INT($C$14))*60,0),0,IF(H21&gt;$B$14+TIME($C$14,($C$14-INT($C$14))*60,0),MIN(TIME($C$14,($C$14-INT($C$14))*60,0),($B$14+TIME($C$14,($C$14-INT($C$14))*60,0)-G21)),MIN(IF((H21-$B$14)&lt;0,0,(H21-$B$14)),(H21-G21))))*24,"")-I21,"")</f>
        <v>9</v>
      </c>
      <c r="K21" s="425">
        <f t="shared" ref="K21" si="9">IF(AND(G21&lt;&gt;"",H21&lt;&gt;""),((IF(G21&lt;$B$14,MIN($B$14-G21,H21-G21),0)+IF(H21&gt;$B$14+TIME($C$14,($C$14-INT($C$14))*60,0),MIN((H21-$B$14-TIME($C$14,($C$14-INT($C$14))*60,0)),(H21-G21)),0))*24),"")</f>
        <v>0</v>
      </c>
      <c r="L21" s="426">
        <f>G21-B14</f>
        <v>0</v>
      </c>
      <c r="M21" s="423">
        <f>(D14/60)*0</f>
        <v>0</v>
      </c>
      <c r="N21" s="427">
        <f>IFERROR(J21*IF(AND(ISNUMBER(SEARCH(TEXT(C21,"ddd"),$G$11)),Data!$F$2),$G$14,$D$14)+K21*$G$14,"")</f>
        <v>737.30769230769226</v>
      </c>
      <c r="O21" s="141">
        <f t="shared" si="2"/>
        <v>737.30769230769226</v>
      </c>
      <c r="P21" s="162"/>
      <c r="Q21" s="108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4"/>
    </row>
    <row r="22" spans="2:34">
      <c r="B22" s="432">
        <v>5</v>
      </c>
      <c r="C22" s="429">
        <f t="shared" si="3"/>
        <v>46281</v>
      </c>
      <c r="D22" s="430">
        <f t="shared" si="3"/>
        <v>46281</v>
      </c>
      <c r="E22" s="424">
        <v>0.33333333333333331</v>
      </c>
      <c r="F22" s="424">
        <v>0</v>
      </c>
      <c r="G22" s="424">
        <f t="shared" si="0"/>
        <v>0.33333333333333331</v>
      </c>
      <c r="H22" s="424">
        <v>0.75</v>
      </c>
      <c r="I22" s="425">
        <v>1</v>
      </c>
      <c r="J22" s="425">
        <f t="shared" si="1"/>
        <v>9</v>
      </c>
      <c r="K22" s="425">
        <v>0</v>
      </c>
      <c r="L22" s="426">
        <v>0</v>
      </c>
      <c r="M22" s="423">
        <f>(D14/60)*0</f>
        <v>0</v>
      </c>
      <c r="N22" s="427">
        <f>IFERROR(J22*IF(AND(ISNUMBER(SEARCH(TEXT(C22,"ddd"),$G$11)),Data!$F$2),$G$14,$D$14)+K22*$G$14,"")</f>
        <v>737.30769230769226</v>
      </c>
      <c r="O22" s="141">
        <f t="shared" si="2"/>
        <v>737.30769230769226</v>
      </c>
      <c r="P22" s="163">
        <f>O21-O22</f>
        <v>0</v>
      </c>
      <c r="Q22" s="135"/>
      <c r="R22" s="96">
        <v>0.40486111111111101</v>
      </c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4"/>
    </row>
    <row r="23" spans="2:34">
      <c r="B23" s="432">
        <v>6</v>
      </c>
      <c r="C23" s="429">
        <f t="shared" si="3"/>
        <v>46282</v>
      </c>
      <c r="D23" s="430">
        <f>D22+1</f>
        <v>46282</v>
      </c>
      <c r="E23" s="424">
        <v>0.33333333333333331</v>
      </c>
      <c r="F23" s="424">
        <v>0</v>
      </c>
      <c r="G23" s="424">
        <f t="shared" ref="G23:G24" si="10">E23-F23</f>
        <v>0.33333333333333331</v>
      </c>
      <c r="H23" s="424">
        <v>0.75</v>
      </c>
      <c r="I23" s="425">
        <v>1</v>
      </c>
      <c r="J23" s="425">
        <f t="shared" ref="J23:J24" si="11">IFERROR(IF(AND(G23&lt;&gt;"",H23&lt;&gt;""),IF(G23&gt;$B$14+TIME($C$14,($C$14-INT($C$14))*60,0),0,IF(H23&gt;$B$14+TIME($C$14,($C$14-INT($C$14))*60,0),MIN(TIME($C$14,($C$14-INT($C$14))*60,0),($B$14+TIME($C$14,($C$14-INT($C$14))*60,0)-G23)),MIN(IF((H23-$B$14)&lt;0,0,(H23-$B$14)),(H23-G23))))*24,"")-I23,"")</f>
        <v>9</v>
      </c>
      <c r="K23" s="425">
        <f t="shared" ref="K23" si="12">IF(AND(G23&lt;&gt;"",H23&lt;&gt;""),((IF(G23&lt;$B$14,MIN($B$14-G23,H23-G23),0)+IF(H23&gt;$B$14+TIME($C$14,($C$14-INT($C$14))*60,0),MIN((H23-$B$14-TIME($C$14,($C$14-INT($C$14))*60,0)),(H23-G23)),0))*24),"")</f>
        <v>0</v>
      </c>
      <c r="L23" s="426">
        <f>G23-B14</f>
        <v>0</v>
      </c>
      <c r="M23" s="423">
        <v>0</v>
      </c>
      <c r="N23" s="427">
        <f>IFERROR(J23*IF(AND(ISNUMBER(SEARCH(TEXT(C23,"ddd"),$G$11)),Data!$F$2),$G$14,$D$14)+K23*$G$14,"")</f>
        <v>737.30769230769226</v>
      </c>
      <c r="O23" s="141">
        <f t="shared" si="2"/>
        <v>737.30769230769226</v>
      </c>
      <c r="P23" s="150"/>
      <c r="Q23" s="89"/>
      <c r="R23" s="96">
        <v>1.0416666666666701E-2</v>
      </c>
    </row>
    <row r="24" spans="2:34">
      <c r="B24" s="432">
        <v>7</v>
      </c>
      <c r="C24" s="429">
        <f t="shared" si="3"/>
        <v>46283</v>
      </c>
      <c r="D24" s="430">
        <f>D23+1</f>
        <v>46283</v>
      </c>
      <c r="E24" s="424">
        <v>0.33333333333333331</v>
      </c>
      <c r="F24" s="424">
        <v>0</v>
      </c>
      <c r="G24" s="424">
        <f t="shared" si="10"/>
        <v>0.33333333333333331</v>
      </c>
      <c r="H24" s="424">
        <v>0.75</v>
      </c>
      <c r="I24" s="425">
        <v>1</v>
      </c>
      <c r="J24" s="425">
        <f t="shared" si="11"/>
        <v>9</v>
      </c>
      <c r="K24" s="425">
        <v>0</v>
      </c>
      <c r="L24" s="426">
        <f>G24-B14</f>
        <v>0</v>
      </c>
      <c r="M24" s="423">
        <f>(D14/60)*0</f>
        <v>0</v>
      </c>
      <c r="N24" s="427">
        <f>IFERROR(J24*IF(AND(ISNUMBER(SEARCH(TEXT(C24,"ddd"),$G$11)),Data!$F$2),$G$14,$D$14)+K24*$G$14,"")</f>
        <v>737.30769230769226</v>
      </c>
      <c r="O24" s="141">
        <f t="shared" si="2"/>
        <v>737.30769230769226</v>
      </c>
      <c r="P24" s="155"/>
      <c r="Q24" s="89"/>
      <c r="R24" s="129">
        <f>R22-R23</f>
        <v>0.39444444444444432</v>
      </c>
    </row>
    <row r="25" spans="2:34">
      <c r="B25" s="432">
        <v>8</v>
      </c>
      <c r="C25" s="429">
        <f t="shared" si="3"/>
        <v>46284</v>
      </c>
      <c r="D25" s="430">
        <f t="shared" si="3"/>
        <v>46284</v>
      </c>
      <c r="E25" s="424">
        <v>0.375</v>
      </c>
      <c r="F25" s="424">
        <v>0</v>
      </c>
      <c r="G25" s="424">
        <v>0</v>
      </c>
      <c r="H25" s="424">
        <v>0.5</v>
      </c>
      <c r="I25" s="425">
        <v>0</v>
      </c>
      <c r="J25" s="425">
        <f t="shared" si="1"/>
        <v>4</v>
      </c>
      <c r="K25" s="425">
        <f t="shared" si="4"/>
        <v>8</v>
      </c>
      <c r="L25" s="426">
        <f>E25-B14</f>
        <v>4.1666666666666685E-2</v>
      </c>
      <c r="M25" s="423">
        <f>(D14/60)*0</f>
        <v>0</v>
      </c>
      <c r="N25" s="427">
        <f>IFERROR(J25*IF(AND(ISNUMBER(SEARCH(TEXT(C25,"ddd"),$G$11)),Data!$F$2),$G$14,$D$14)+K25*$G$14,"")</f>
        <v>327.69230769230768</v>
      </c>
      <c r="O25" s="141">
        <f t="shared" si="2"/>
        <v>327.69230769230768</v>
      </c>
      <c r="P25" s="89"/>
      <c r="Q25" s="89"/>
    </row>
    <row r="26" spans="2:34">
      <c r="B26" s="432"/>
      <c r="C26" s="429">
        <f t="shared" si="3"/>
        <v>46285</v>
      </c>
      <c r="D26" s="430">
        <f t="shared" si="3"/>
        <v>46285</v>
      </c>
      <c r="E26" s="424">
        <v>0</v>
      </c>
      <c r="F26" s="424">
        <v>0</v>
      </c>
      <c r="G26" s="424">
        <f t="shared" ref="G26:G27" si="13">E26-F26</f>
        <v>0</v>
      </c>
      <c r="H26" s="424">
        <v>0</v>
      </c>
      <c r="I26" s="425">
        <v>0</v>
      </c>
      <c r="J26" s="425">
        <f t="shared" si="1"/>
        <v>0</v>
      </c>
      <c r="K26" s="425">
        <f t="shared" ref="K26:K27" si="14">IF(AND(G26&lt;&gt;"",H26&lt;&gt;""),((IF(G26&lt;$B$14,MIN($B$14-G26,H26-G26),0)+IF(H26&gt;$B$14+TIME($C$14,($C$14-INT($C$14))*60,0),MIN((H26-$B$14-TIME($C$14,($C$14-INT($C$14))*60,0)),(H26-G26)),0))*24),"")</f>
        <v>0</v>
      </c>
      <c r="L26" s="97">
        <v>0</v>
      </c>
      <c r="M26" s="98">
        <f>(D14/60)*0</f>
        <v>0</v>
      </c>
      <c r="N26" s="251">
        <f>IFERROR(J26*IF(AND(ISNUMBER(SEARCH(TEXT(C26,"ddd"),$G$11)),Data!$F$2),$G$14,$D$14)+K26*$G$14,"")</f>
        <v>0</v>
      </c>
      <c r="O26" s="141">
        <f t="shared" si="2"/>
        <v>0</v>
      </c>
      <c r="P26" s="89"/>
      <c r="Q26" s="89"/>
    </row>
    <row r="27" spans="2:34">
      <c r="B27" s="432">
        <v>9</v>
      </c>
      <c r="C27" s="429">
        <f t="shared" si="3"/>
        <v>46286</v>
      </c>
      <c r="D27" s="430">
        <f t="shared" si="3"/>
        <v>46286</v>
      </c>
      <c r="E27" s="424">
        <v>0.33333333333333331</v>
      </c>
      <c r="F27" s="424">
        <v>0</v>
      </c>
      <c r="G27" s="424">
        <f t="shared" si="13"/>
        <v>0.33333333333333331</v>
      </c>
      <c r="H27" s="424">
        <v>0.75</v>
      </c>
      <c r="I27" s="425">
        <v>1</v>
      </c>
      <c r="J27" s="425">
        <f t="shared" si="1"/>
        <v>9</v>
      </c>
      <c r="K27" s="425">
        <f t="shared" si="14"/>
        <v>0</v>
      </c>
      <c r="L27" s="426">
        <v>0</v>
      </c>
      <c r="M27" s="423">
        <f>(D14/60)*0</f>
        <v>0</v>
      </c>
      <c r="N27" s="427">
        <f>IFERROR(J27*IF(AND(ISNUMBER(SEARCH(TEXT(C27,"ddd"),$G$11)),Data!$F$2),$G$14,$D$14)+K27*$G$14,"")</f>
        <v>737.30769230769226</v>
      </c>
      <c r="O27" s="141">
        <f t="shared" si="2"/>
        <v>737.30769230769226</v>
      </c>
      <c r="P27" s="127"/>
      <c r="Q27" s="89"/>
    </row>
    <row r="28" spans="2:34">
      <c r="B28" s="432">
        <v>10</v>
      </c>
      <c r="C28" s="429">
        <f t="shared" si="3"/>
        <v>46287</v>
      </c>
      <c r="D28" s="430">
        <f t="shared" si="3"/>
        <v>46287</v>
      </c>
      <c r="E28" s="424">
        <v>0.35555555555555557</v>
      </c>
      <c r="F28" s="424">
        <v>0</v>
      </c>
      <c r="G28" s="424">
        <f t="shared" ref="G28:G29" si="15">E28-F28</f>
        <v>0.35555555555555557</v>
      </c>
      <c r="H28" s="424">
        <v>0.75</v>
      </c>
      <c r="I28" s="425">
        <v>1</v>
      </c>
      <c r="J28" s="425">
        <f t="shared" ref="J28:J31" si="16">IFERROR(IF(AND(G28&lt;&gt;"",H28&lt;&gt;""),IF(G28&gt;$B$14+TIME($C$14,($C$14-INT($C$14))*60,0),0,IF(H28&gt;$B$14+TIME($C$14,($C$14-INT($C$14))*60,0),MIN(TIME($C$14,($C$14-INT($C$14))*60,0),($B$14+TIME($C$14,($C$14-INT($C$14))*60,0)-G28)),MIN(IF((H28-$B$14)&lt;0,0,(H28-$B$14)),(H28-G28))))*24,"")-I28,"")</f>
        <v>8.4666666666666668</v>
      </c>
      <c r="K28" s="425">
        <f t="shared" ref="K28" si="17">IF(AND(G28&lt;&gt;"",H28&lt;&gt;""),((IF(G28&lt;$B$14,MIN($B$14-G28,H28-G28),0)+IF(H28&gt;$B$14+TIME($C$14,($C$14-INT($C$14))*60,0),MIN((H28-$B$14-TIME($C$14,($C$14-INT($C$14))*60,0)),(H28-G28)),0))*24),"")</f>
        <v>0</v>
      </c>
      <c r="L28" s="426">
        <f>E28-B14</f>
        <v>2.2222222222222254E-2</v>
      </c>
      <c r="M28" s="423">
        <f>(D14/60)*0</f>
        <v>0</v>
      </c>
      <c r="N28" s="427">
        <f>IFERROR(J28*IF(AND(ISNUMBER(SEARCH(TEXT(C28,"ddd"),$G$11)),Data!$F$2),$G$14,$D$14)+K28*$G$14,"")</f>
        <v>693.61538461538464</v>
      </c>
      <c r="O28" s="141">
        <f t="shared" si="2"/>
        <v>693.61538461538464</v>
      </c>
      <c r="Q28" s="89"/>
    </row>
    <row r="29" spans="2:34">
      <c r="B29" s="432">
        <v>11</v>
      </c>
      <c r="C29" s="429">
        <f t="shared" si="3"/>
        <v>46288</v>
      </c>
      <c r="D29" s="430">
        <f t="shared" si="3"/>
        <v>46288</v>
      </c>
      <c r="E29" s="424">
        <v>0.33333333333333331</v>
      </c>
      <c r="F29" s="424">
        <v>0</v>
      </c>
      <c r="G29" s="424">
        <f t="shared" si="15"/>
        <v>0.33333333333333331</v>
      </c>
      <c r="H29" s="424">
        <v>0.75</v>
      </c>
      <c r="I29" s="425">
        <v>1</v>
      </c>
      <c r="J29" s="425">
        <f t="shared" si="16"/>
        <v>9</v>
      </c>
      <c r="K29" s="425">
        <v>0</v>
      </c>
      <c r="L29" s="426">
        <v>0</v>
      </c>
      <c r="M29" s="423">
        <f>(D14/60)*0</f>
        <v>0</v>
      </c>
      <c r="N29" s="427">
        <f>IFERROR(J29*IF(AND(ISNUMBER(SEARCH(TEXT(C29,"ddd"),$G$11)),Data!$F$2),$G$14,$D$14)+K29*$G$14,"")</f>
        <v>737.30769230769226</v>
      </c>
      <c r="O29" s="141">
        <f t="shared" si="2"/>
        <v>737.30769230769226</v>
      </c>
      <c r="P29" s="95">
        <f>O28-O29</f>
        <v>-43.692307692307622</v>
      </c>
      <c r="Q29" s="89"/>
    </row>
    <row r="30" spans="2:34">
      <c r="B30" s="432">
        <v>12</v>
      </c>
      <c r="C30" s="429">
        <f t="shared" si="3"/>
        <v>46289</v>
      </c>
      <c r="D30" s="430">
        <f t="shared" si="3"/>
        <v>46289</v>
      </c>
      <c r="E30" s="424">
        <v>0.33333333333333331</v>
      </c>
      <c r="F30" s="424">
        <v>0</v>
      </c>
      <c r="G30" s="424">
        <f>E30-F30</f>
        <v>0.33333333333333331</v>
      </c>
      <c r="H30" s="424">
        <v>0.75</v>
      </c>
      <c r="I30" s="425">
        <v>1</v>
      </c>
      <c r="J30" s="425">
        <f t="shared" si="16"/>
        <v>9</v>
      </c>
      <c r="K30" s="425">
        <v>0</v>
      </c>
      <c r="L30" s="426">
        <f>G30-B14</f>
        <v>0</v>
      </c>
      <c r="M30" s="423">
        <f>(D14/60)*0</f>
        <v>0</v>
      </c>
      <c r="N30" s="427">
        <f>IFERROR(J30*IF(AND(ISNUMBER(SEARCH(TEXT(C30,"ddd"),$G$11)),Data!$F$2),$G$14,$D$14)+K30*$G$14,"")</f>
        <v>737.30769230769226</v>
      </c>
      <c r="O30" s="141">
        <f t="shared" si="2"/>
        <v>737.30769230769226</v>
      </c>
      <c r="P30" s="127"/>
      <c r="Q30" s="89"/>
    </row>
    <row r="31" spans="2:34">
      <c r="B31" s="432">
        <v>13</v>
      </c>
      <c r="C31" s="429">
        <f t="shared" si="3"/>
        <v>46290</v>
      </c>
      <c r="D31" s="430">
        <f t="shared" si="3"/>
        <v>46290</v>
      </c>
      <c r="E31" s="424">
        <v>0.33333333333333331</v>
      </c>
      <c r="F31" s="424">
        <v>0</v>
      </c>
      <c r="G31" s="424">
        <f>E31-F31</f>
        <v>0.33333333333333331</v>
      </c>
      <c r="H31" s="424">
        <v>0.75</v>
      </c>
      <c r="I31" s="425">
        <v>1</v>
      </c>
      <c r="J31" s="425">
        <f t="shared" si="16"/>
        <v>9</v>
      </c>
      <c r="K31" s="425">
        <v>0</v>
      </c>
      <c r="L31" s="426">
        <f>G31-B14</f>
        <v>0</v>
      </c>
      <c r="M31" s="423">
        <f>(D15/60)*0</f>
        <v>0</v>
      </c>
      <c r="N31" s="427">
        <f>IFERROR(J31*IF(AND(ISNUMBER(SEARCH(TEXT(C31,"ddd"),$G$11)),Data!$F$2),$G$14,$D$14)+K31*$G$14,"")</f>
        <v>737.30769230769226</v>
      </c>
      <c r="O31" s="141">
        <f t="shared" si="2"/>
        <v>737.30769230769226</v>
      </c>
      <c r="P31" s="95">
        <f>O28-O31</f>
        <v>-43.692307692307622</v>
      </c>
    </row>
    <row r="32" spans="2:34">
      <c r="B32" s="441"/>
      <c r="C32" s="442"/>
      <c r="D32" s="443"/>
      <c r="E32" s="444"/>
      <c r="F32" s="444"/>
      <c r="G32" s="593" t="s">
        <v>182</v>
      </c>
      <c r="H32" s="594"/>
      <c r="I32" s="445">
        <f>SUM(I17:I31)</f>
        <v>11</v>
      </c>
      <c r="J32" s="445">
        <f>SUM(J17:J31)</f>
        <v>105.46666666666667</v>
      </c>
      <c r="K32" s="445">
        <f>SUM(K17:K31)</f>
        <v>8</v>
      </c>
      <c r="L32" s="446">
        <f>SUM(L17:L31)</f>
        <v>0.10555555555555562</v>
      </c>
      <c r="M32" s="447">
        <f>SUM(M17:M31)</f>
        <v>0</v>
      </c>
      <c r="N32" s="441"/>
      <c r="O32" s="165">
        <f>SUM(O17:O31)</f>
        <v>8640.1538461538457</v>
      </c>
      <c r="P32" s="165">
        <f>SUM(P17:P31)</f>
        <v>-87.384615384615245</v>
      </c>
      <c r="Q32" s="95">
        <f>O32+P32</f>
        <v>8552.7692307692305</v>
      </c>
    </row>
    <row r="33" spans="2:17">
      <c r="B33" s="66"/>
      <c r="C33" s="76"/>
      <c r="D33" s="77"/>
      <c r="E33" s="144"/>
      <c r="F33" s="144"/>
      <c r="G33" s="81" t="s">
        <v>39</v>
      </c>
      <c r="H33" s="82"/>
      <c r="I33" s="83"/>
      <c r="J33" s="84"/>
      <c r="K33" s="116"/>
      <c r="L33" s="102">
        <f>(D14/60)*0</f>
        <v>0</v>
      </c>
      <c r="M33" s="118"/>
      <c r="N33" s="166">
        <f>(D14*H14)-N37</f>
        <v>8520</v>
      </c>
      <c r="O33" s="95"/>
      <c r="P33" s="95"/>
      <c r="Q33" s="95"/>
    </row>
    <row r="34" spans="2:17">
      <c r="B34" s="65"/>
      <c r="C34" s="65"/>
      <c r="D34" s="85"/>
      <c r="E34" s="85"/>
      <c r="F34" s="85"/>
      <c r="G34" s="592" t="s">
        <v>183</v>
      </c>
      <c r="H34" s="592"/>
      <c r="I34" s="80"/>
      <c r="J34" s="80">
        <f>H14-J32</f>
        <v>-1.4666666666666686</v>
      </c>
      <c r="K34" s="65" t="s">
        <v>192</v>
      </c>
      <c r="L34" s="120"/>
      <c r="M34" s="65"/>
      <c r="N34" s="121">
        <f>M32</f>
        <v>0</v>
      </c>
      <c r="O34" s="151">
        <f>O32-O33</f>
        <v>8640.1538461538457</v>
      </c>
      <c r="P34" s="95"/>
      <c r="Q34" s="95"/>
    </row>
    <row r="35" spans="2:17">
      <c r="B35" s="65"/>
      <c r="C35" s="65"/>
      <c r="D35" s="85"/>
      <c r="E35" s="145"/>
      <c r="F35" s="145"/>
      <c r="G35" s="78" t="s">
        <v>41</v>
      </c>
      <c r="H35" s="79"/>
      <c r="I35" s="66"/>
      <c r="J35" s="66"/>
      <c r="K35" s="80"/>
      <c r="L35" s="80"/>
      <c r="M35" s="80"/>
      <c r="N35" s="121">
        <f>N33-N34</f>
        <v>8520</v>
      </c>
      <c r="O35" s="95"/>
      <c r="P35" s="95"/>
      <c r="Q35" s="95"/>
    </row>
    <row r="36" spans="2:17">
      <c r="B36" s="65"/>
      <c r="C36" s="65"/>
      <c r="D36" s="85"/>
      <c r="E36" s="146"/>
      <c r="F36" s="146"/>
      <c r="G36" s="604" t="s">
        <v>184</v>
      </c>
      <c r="H36" s="605"/>
      <c r="I36" s="80"/>
      <c r="J36" s="66"/>
      <c r="K36" s="122"/>
      <c r="L36" s="122"/>
      <c r="M36" s="122"/>
      <c r="N36" s="123">
        <f>K32*G14</f>
        <v>0</v>
      </c>
      <c r="O36" s="95"/>
    </row>
    <row r="37" spans="2:17">
      <c r="B37" s="65"/>
      <c r="C37" s="65"/>
      <c r="D37" s="85"/>
      <c r="E37" s="146"/>
      <c r="F37" s="146"/>
      <c r="G37" s="86" t="s">
        <v>185</v>
      </c>
      <c r="H37" s="87"/>
      <c r="I37" s="80"/>
      <c r="J37" s="66"/>
      <c r="K37" s="122"/>
      <c r="L37" s="122"/>
      <c r="M37" s="122"/>
      <c r="N37" s="123">
        <v>0</v>
      </c>
      <c r="O37" s="95"/>
    </row>
    <row r="38" spans="2:17">
      <c r="B38" s="65"/>
      <c r="C38" s="65"/>
      <c r="D38" s="85"/>
      <c r="E38" s="145"/>
      <c r="F38" s="145"/>
      <c r="G38" s="597" t="s">
        <v>186</v>
      </c>
      <c r="H38" s="598"/>
      <c r="I38" s="66"/>
      <c r="J38" s="66"/>
      <c r="K38" s="66"/>
      <c r="L38" s="66"/>
      <c r="M38" s="66"/>
      <c r="N38" s="124">
        <f>N35+N36+N37</f>
        <v>8520</v>
      </c>
      <c r="O38" s="95"/>
    </row>
    <row r="39" spans="2:17">
      <c r="D39" s="88"/>
      <c r="E39" s="88"/>
      <c r="F39" s="88"/>
      <c r="G39" s="589"/>
      <c r="H39" s="589"/>
      <c r="I39" s="90"/>
      <c r="J39" s="90"/>
      <c r="K39" s="125"/>
      <c r="L39" s="125"/>
      <c r="M39" s="125"/>
      <c r="N39" s="126"/>
      <c r="O39" s="127"/>
    </row>
    <row r="40" spans="2:17">
      <c r="D40" s="91"/>
      <c r="E40" s="91"/>
      <c r="F40" s="91"/>
      <c r="M40" t="s">
        <v>196</v>
      </c>
    </row>
    <row r="41" spans="2:17">
      <c r="B41" s="590" t="s">
        <v>187</v>
      </c>
      <c r="C41" s="590"/>
      <c r="D41" s="590"/>
      <c r="E41" s="590"/>
      <c r="F41" s="590"/>
      <c r="G41" s="590"/>
      <c r="H41" s="590"/>
      <c r="I41" s="590"/>
      <c r="J41" s="590"/>
      <c r="K41" s="590"/>
      <c r="L41" s="590"/>
      <c r="M41" s="590"/>
      <c r="N41" s="590"/>
    </row>
    <row r="42" spans="2:17">
      <c r="D42" s="91"/>
      <c r="E42" s="91"/>
      <c r="F42" s="91"/>
    </row>
    <row r="43" spans="2:17">
      <c r="D43" s="91" t="s">
        <v>188</v>
      </c>
      <c r="E43" s="91"/>
      <c r="F43" s="91"/>
      <c r="N43" s="95"/>
    </row>
    <row r="44" spans="2:17">
      <c r="D44" s="54" t="s">
        <v>10</v>
      </c>
      <c r="E44" s="54"/>
      <c r="F44" s="54"/>
      <c r="G44" s="54" t="s">
        <v>11</v>
      </c>
      <c r="H44" s="54" t="s">
        <v>12</v>
      </c>
      <c r="I44" s="55" t="s">
        <v>13</v>
      </c>
    </row>
    <row r="45" spans="2:17">
      <c r="D45" s="56">
        <v>2026</v>
      </c>
      <c r="E45" s="56"/>
      <c r="F45" s="56"/>
      <c r="G45" s="56" t="s">
        <v>204</v>
      </c>
      <c r="H45" s="56">
        <v>12</v>
      </c>
      <c r="I45" s="56" t="s">
        <v>15</v>
      </c>
    </row>
    <row r="46" spans="2:17">
      <c r="D46" s="57"/>
      <c r="E46" s="57"/>
      <c r="F46" s="57"/>
      <c r="G46" s="57"/>
    </row>
    <row r="47" spans="2:17" ht="33.75">
      <c r="D47" s="159" t="s">
        <v>16</v>
      </c>
      <c r="E47" s="159"/>
      <c r="F47" s="159"/>
      <c r="G47" s="159" t="s">
        <v>17</v>
      </c>
      <c r="H47" s="159" t="s">
        <v>18</v>
      </c>
      <c r="I47" s="159" t="s">
        <v>19</v>
      </c>
    </row>
    <row r="48" spans="2:17">
      <c r="D48" s="61">
        <v>0.33333333333333298</v>
      </c>
      <c r="E48" s="61"/>
      <c r="F48" s="61"/>
      <c r="G48" s="62">
        <v>10</v>
      </c>
      <c r="H48" s="63">
        <f>D14</f>
        <v>81.92307692307692</v>
      </c>
      <c r="I48" s="130">
        <f>(H48*30%)+H48</f>
        <v>106.5</v>
      </c>
    </row>
    <row r="50" spans="3:14">
      <c r="C50" s="131" t="s">
        <v>20</v>
      </c>
      <c r="D50" s="131" t="s">
        <v>12</v>
      </c>
      <c r="E50" s="131"/>
      <c r="F50" s="131"/>
      <c r="G50" s="131" t="s">
        <v>21</v>
      </c>
      <c r="H50" s="131" t="s">
        <v>22</v>
      </c>
      <c r="I50" s="131" t="s">
        <v>23</v>
      </c>
      <c r="J50" s="131" t="s">
        <v>24</v>
      </c>
      <c r="K50" s="131" t="s">
        <v>25</v>
      </c>
      <c r="L50" s="131"/>
      <c r="M50" s="131"/>
      <c r="N50" s="131" t="s">
        <v>26</v>
      </c>
    </row>
    <row r="51" spans="3:14">
      <c r="C51" s="70" t="s">
        <v>353</v>
      </c>
      <c r="D51" s="71">
        <v>12</v>
      </c>
      <c r="E51" s="71"/>
      <c r="F51" s="71"/>
      <c r="G51" s="72">
        <v>0.33333333333333331</v>
      </c>
      <c r="H51" s="72">
        <v>0.75</v>
      </c>
      <c r="I51" s="73">
        <v>1</v>
      </c>
      <c r="J51" s="73">
        <f>IFERROR(IF(AND(G51&lt;&gt;"",H51&lt;&gt;""),IF(G51&gt;$B$14+TIME($C$14,($C$14-INT($C$14))*60,0),0,IF(H51&gt;$B$14+TIME($C$14,($C$14-INT($C$14))*60,0),MIN(TIME($C$14,($C$14-INT($C$14))*60,0),($B$14+TIME($C$14,($C$14-INT($C$14))*60,0)-G51)),MIN(IF((H51-$B$14)&lt;0,0,(H51-$B$14)),(H51-G51))))*24,"")-I51,"")</f>
        <v>9</v>
      </c>
      <c r="K51" s="73">
        <f>IF(AND(G51&lt;&gt;"",H51&lt;&gt;""),((IF(G51&lt;$D$48,MIN($D$48-G51,H51-G51),0)+IF(H51&gt;$D$48+TIME($G$48,($G$48-INT($G$48))*60,0),MIN((H51-$D$48-TIME($G$48,($G$48-INT($G$48))*60,0)),(H51-G51)),0))*24),"")</f>
        <v>0</v>
      </c>
      <c r="L51" s="73"/>
      <c r="M51" s="73"/>
      <c r="N51" s="99">
        <f>H48*J51</f>
        <v>737.30769230769226</v>
      </c>
    </row>
    <row r="52" spans="3:14">
      <c r="C52" s="70" t="s">
        <v>445</v>
      </c>
      <c r="D52" s="71">
        <v>23</v>
      </c>
      <c r="E52" s="71"/>
      <c r="F52" s="71"/>
      <c r="G52" s="72">
        <v>0</v>
      </c>
      <c r="H52" s="72">
        <v>0</v>
      </c>
      <c r="I52" s="73">
        <v>0</v>
      </c>
      <c r="J52" s="73">
        <f>IFERROR(IF(AND(G52&lt;&gt;"",H52&lt;&gt;""),IF(G52&gt;$B$14+TIME($C$14,($C$14-INT($C$14))*60,0),0,IF(H52&gt;$B$14+TIME($C$14,($C$14-INT($C$14))*60,0),MIN(TIME($C$14,($C$14-INT($C$14))*60,0),($B$14+TIME($C$14,($C$14-INT($C$14))*60,0)-G52)),MIN(IF((H52-$B$14)&lt;0,0,(H52-$B$14)),(H52-G52))))*24,"")-I52,"")</f>
        <v>0</v>
      </c>
      <c r="K52" s="73">
        <f>IF(AND(G52&lt;&gt;"",H52&lt;&gt;""),((IF(G52&lt;$D$48,MIN($D$48-G52,H52-G52),0)+IF(H52&gt;$D$48+TIME($G$48,($G$48-INT($G$48))*60,0),MIN((H52-$D$48-TIME($G$48,($G$48-INT($G$48))*60,0)),(H52-G52)),0))*24),"")</f>
        <v>0</v>
      </c>
      <c r="L52" s="73"/>
      <c r="M52" s="73"/>
      <c r="N52" s="99">
        <f>H48*J52</f>
        <v>0</v>
      </c>
    </row>
    <row r="53" spans="3:14"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318">
        <f>SUM(N51:N52)</f>
        <v>737.30769230769226</v>
      </c>
    </row>
    <row r="54" spans="3:14">
      <c r="N54" s="138"/>
    </row>
    <row r="55" spans="3:14">
      <c r="N55" s="138"/>
    </row>
    <row r="56" spans="3:14">
      <c r="D56" s="132" t="s">
        <v>190</v>
      </c>
      <c r="E56" s="132"/>
      <c r="F56" s="132"/>
      <c r="G56" s="133"/>
      <c r="H56" s="133"/>
      <c r="I56" s="133"/>
      <c r="N56" s="138"/>
    </row>
    <row r="57" spans="3:14">
      <c r="D57" s="132"/>
      <c r="E57" s="132"/>
      <c r="F57" s="132"/>
      <c r="G57" s="133"/>
      <c r="H57" s="133"/>
      <c r="I57" s="133"/>
      <c r="N57" s="138"/>
    </row>
    <row r="58" spans="3:14">
      <c r="D58" s="132"/>
      <c r="E58" s="132"/>
      <c r="F58" s="132"/>
      <c r="G58" s="133"/>
      <c r="H58" s="133"/>
      <c r="I58" s="133"/>
      <c r="N58" s="138"/>
    </row>
    <row r="59" spans="3:14">
      <c r="D59" s="591">
        <v>44981</v>
      </c>
      <c r="E59" s="591"/>
      <c r="F59" s="591"/>
      <c r="G59" s="88"/>
      <c r="H59" s="148" t="s">
        <v>280</v>
      </c>
      <c r="I59" s="254"/>
      <c r="N59" s="138"/>
    </row>
    <row r="60" spans="3:14">
      <c r="E60" s="88"/>
      <c r="F60" s="88"/>
      <c r="G60" s="88">
        <f>G59*H60</f>
        <v>0</v>
      </c>
      <c r="H60" s="253">
        <v>0.3</v>
      </c>
      <c r="I60" s="254"/>
      <c r="N60" s="138"/>
    </row>
    <row r="61" spans="3:14">
      <c r="E61" s="91"/>
      <c r="F61" s="91"/>
      <c r="G61" s="91"/>
      <c r="N61" s="138"/>
    </row>
    <row r="62" spans="3:14">
      <c r="E62" s="91"/>
      <c r="F62" s="91"/>
      <c r="G62" s="91"/>
      <c r="H62" s="91">
        <f>G60</f>
        <v>0</v>
      </c>
      <c r="N62" s="138"/>
    </row>
    <row r="63" spans="3:14">
      <c r="E63" s="91"/>
      <c r="F63" s="91"/>
      <c r="G63" s="91"/>
      <c r="N63" s="138"/>
    </row>
    <row r="64" spans="3:14">
      <c r="D64" s="132"/>
      <c r="E64" s="132"/>
      <c r="F64" s="132"/>
      <c r="G64" s="133"/>
      <c r="H64" s="133"/>
      <c r="I64" s="133"/>
    </row>
    <row r="65" spans="3:14">
      <c r="D65" s="132"/>
      <c r="E65" s="132"/>
      <c r="F65" s="132"/>
      <c r="G65" s="133"/>
      <c r="H65" s="133"/>
      <c r="I65" s="133"/>
    </row>
    <row r="66" spans="3:14">
      <c r="D66" s="132" t="s">
        <v>190</v>
      </c>
      <c r="E66" s="132"/>
      <c r="F66" s="132"/>
      <c r="G66" s="133"/>
      <c r="H66" s="133"/>
      <c r="I66" s="133"/>
    </row>
    <row r="67" spans="3:14">
      <c r="D67" s="54" t="s">
        <v>10</v>
      </c>
      <c r="E67" s="54"/>
      <c r="F67" s="54"/>
      <c r="G67" s="54" t="s">
        <v>11</v>
      </c>
      <c r="H67" s="54" t="s">
        <v>12</v>
      </c>
      <c r="I67" s="55" t="s">
        <v>13</v>
      </c>
    </row>
    <row r="68" spans="3:14">
      <c r="D68" s="56">
        <v>2022</v>
      </c>
      <c r="E68" s="56"/>
      <c r="F68" s="56"/>
      <c r="G68" s="56" t="s">
        <v>189</v>
      </c>
      <c r="H68" s="56">
        <v>27</v>
      </c>
      <c r="I68" s="56" t="s">
        <v>15</v>
      </c>
    </row>
    <row r="69" spans="3:14">
      <c r="D69" s="57"/>
      <c r="E69" s="57"/>
      <c r="F69" s="57"/>
      <c r="G69" s="57"/>
    </row>
    <row r="70" spans="3:14" ht="33.75">
      <c r="D70" s="159" t="s">
        <v>16</v>
      </c>
      <c r="E70" s="159"/>
      <c r="F70" s="159"/>
      <c r="G70" s="159" t="s">
        <v>17</v>
      </c>
      <c r="H70" s="159" t="s">
        <v>191</v>
      </c>
      <c r="I70" s="167"/>
      <c r="J70" t="s">
        <v>192</v>
      </c>
    </row>
    <row r="71" spans="3:14">
      <c r="D71" s="61">
        <v>0.33333333333333298</v>
      </c>
      <c r="E71" s="61"/>
      <c r="F71" s="61"/>
      <c r="G71" s="62">
        <v>9</v>
      </c>
      <c r="H71" s="63">
        <v>45.63</v>
      </c>
      <c r="I71" s="130"/>
    </row>
    <row r="73" spans="3:14"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</row>
    <row r="74" spans="3:14">
      <c r="C74" s="131"/>
      <c r="D74" s="131" t="s">
        <v>12</v>
      </c>
      <c r="E74" s="131"/>
      <c r="F74" s="131"/>
      <c r="G74" s="131" t="s">
        <v>21</v>
      </c>
      <c r="H74" s="131" t="s">
        <v>22</v>
      </c>
      <c r="I74" s="131" t="s">
        <v>23</v>
      </c>
      <c r="J74" s="131" t="s">
        <v>24</v>
      </c>
      <c r="K74" s="131" t="s">
        <v>25</v>
      </c>
      <c r="L74" s="131"/>
      <c r="M74" s="131"/>
      <c r="N74" s="131" t="s">
        <v>26</v>
      </c>
    </row>
    <row r="75" spans="3:14">
      <c r="C75" s="70" t="s">
        <v>193</v>
      </c>
      <c r="D75" s="71">
        <v>27</v>
      </c>
      <c r="E75" s="71"/>
      <c r="F75" s="71"/>
      <c r="G75" s="72">
        <v>0</v>
      </c>
      <c r="H75" s="72">
        <v>0</v>
      </c>
      <c r="I75" s="73"/>
      <c r="J75" s="73">
        <f>IFERROR(IF(AND(G75&lt;&gt;"",H75&lt;&gt;""),IF(G75&gt;$B$14+TIME($C$14,($C$14-INT($C$14))*60,0),0,IF(H75&gt;$B$14+TIME($C$14,($C$14-INT($C$14))*60,0),MIN(TIME($C$14,($C$14-INT($C$14))*60,0),($B$14+TIME($C$14,($C$14-INT($C$14))*60,0)-G75)),MIN(IF((H75-$B$14)&lt;0,0,(H75-$B$14)),(H75-G75))))*24,"")-I75,"")</f>
        <v>0</v>
      </c>
      <c r="K75" s="73">
        <f>IF(AND(G75&lt;&gt;"",H75&lt;&gt;""),((IF(G75&lt;$B$14,MIN($B$14-G75,H75-G75),0)+IF(H75&gt;$B$14+TIME($C$14,($C$14-INT($C$14))*60,0),MIN((H75-$B$14-TIME($C$14,($C$14-INT($C$14))*60,0)),(H75-G75)),0))*24),"")</f>
        <v>0</v>
      </c>
      <c r="L75" s="110"/>
      <c r="M75" s="102"/>
      <c r="N75" s="99">
        <f>(H71+(H71*169%))*K75</f>
        <v>0</v>
      </c>
    </row>
    <row r="76" spans="3:14">
      <c r="C76" s="70" t="s">
        <v>193</v>
      </c>
      <c r="D76" s="71">
        <v>3</v>
      </c>
      <c r="E76" s="71"/>
      <c r="F76" s="71"/>
      <c r="G76" s="72">
        <v>0</v>
      </c>
      <c r="H76" s="72">
        <v>0</v>
      </c>
      <c r="I76" s="73"/>
      <c r="J76" s="73">
        <f>IFERROR(IF(AND(G76&lt;&gt;"",H76&lt;&gt;""),IF(G76&gt;$B$14+TIME($C$14,($C$14-INT($C$14))*60,0),0,IF(H76&gt;$B$14+TIME($C$14,($C$14-INT($C$14))*60,0),MIN(TIME($C$14,($C$14-INT($C$14))*60,0),($B$14+TIME($C$14,($C$14-INT($C$14))*60,0)-G76)),MIN(IF((H76-$B$14)&lt;0,0,(H76-$B$14)),(H76-G76))))*24,"")-I76,"")</f>
        <v>0</v>
      </c>
      <c r="K76" s="73">
        <f>IF(AND(G76&lt;&gt;"",H76&lt;&gt;""),((IF(G76&lt;$D$48,MIN($D$48-G76,H76-G76),0)+IF(H76&gt;$D$48+TIME($G$48,($G$48-INT($G$48))*60,0),MIN((H76-$D$48-TIME($G$48,($G$48-INT($G$48))*60,0)),(H76-G76)),0))*24),"")</f>
        <v>0</v>
      </c>
      <c r="L76" s="73"/>
      <c r="M76" s="73"/>
      <c r="N76" s="99">
        <f>(H71+(H71*169%))*K76</f>
        <v>0</v>
      </c>
    </row>
    <row r="77" spans="3:14">
      <c r="C77" s="70"/>
      <c r="D77" s="71"/>
      <c r="E77" s="71"/>
      <c r="F77" s="71"/>
      <c r="G77" s="72"/>
      <c r="H77" s="72"/>
      <c r="I77" s="73"/>
      <c r="J77" s="73"/>
      <c r="K77" s="73"/>
      <c r="L77" s="73"/>
      <c r="M77" s="73"/>
      <c r="N77" s="99"/>
    </row>
    <row r="78" spans="3:14"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137">
        <f>SUM(N75:N76)</f>
        <v>0</v>
      </c>
    </row>
    <row r="79" spans="3:14">
      <c r="G79" s="606"/>
      <c r="H79" s="606"/>
    </row>
    <row r="82" spans="3:3">
      <c r="C82" s="91" t="s">
        <v>141</v>
      </c>
    </row>
    <row r="83" spans="3:3">
      <c r="C83" t="s">
        <v>66</v>
      </c>
    </row>
    <row r="84" spans="3:3">
      <c r="C84" s="91"/>
    </row>
  </sheetData>
  <mergeCells count="13">
    <mergeCell ref="G79:H79"/>
    <mergeCell ref="A6:N6"/>
    <mergeCell ref="C7:D7"/>
    <mergeCell ref="M7:O7"/>
    <mergeCell ref="C8:D8"/>
    <mergeCell ref="M8:O8"/>
    <mergeCell ref="G32:H32"/>
    <mergeCell ref="G34:H34"/>
    <mergeCell ref="G36:H36"/>
    <mergeCell ref="G38:H38"/>
    <mergeCell ref="G39:H39"/>
    <mergeCell ref="B41:N41"/>
    <mergeCell ref="D59:F59"/>
  </mergeCells>
  <conditionalFormatting sqref="C17:D17">
    <cfRule type="expression" dxfId="201" priority="126">
      <formula>ISNUMBER(SEARCH(TEXT($B17,"ddd"),$F$10))</formula>
    </cfRule>
  </conditionalFormatting>
  <conditionalFormatting sqref="C18:D31 I75:L75 G75:H76 C75:F77 N75:N77 I76 J76:M77 G77:I77">
    <cfRule type="expression" dxfId="200" priority="208">
      <formula>ISNUMBER(SEARCH(TEXT($C18,"ddd"),$G$11))</formula>
    </cfRule>
  </conditionalFormatting>
  <conditionalFormatting sqref="C51:N52">
    <cfRule type="expression" dxfId="199" priority="1">
      <formula>ISNUMBER(SEARCH(TEXT($C51,"ddd"),$G$11))</formula>
    </cfRule>
  </conditionalFormatting>
  <conditionalFormatting sqref="E17:K31">
    <cfRule type="expression" dxfId="198" priority="2">
      <formula>ISNUMBER(SEARCH(TEXT($C17,"ddd"),$G$11))</formula>
    </cfRule>
  </conditionalFormatting>
  <conditionalFormatting sqref="N17:N31">
    <cfRule type="expression" dxfId="197" priority="127">
      <formula>ISNUMBER(SEARCH(TEXT($B17,"ddd"),$F$10))</formula>
    </cfRule>
  </conditionalFormatting>
  <dataValidations count="5">
    <dataValidation type="custom" allowBlank="1" showInputMessage="1" showErrorMessage="1" sqref="H75:H77 H51:H52 H17:H31" xr:uid="{00000000-0002-0000-1A00-000000000000}">
      <formula1>AND($H17&lt;=1,ISNUMBER($H17),($H17&gt;=$G17))</formula1>
    </dataValidation>
    <dataValidation type="custom" allowBlank="1" showInputMessage="1" showErrorMessage="1" sqref="G75:G77 G51:G52 E17:G31" xr:uid="{00000000-0002-0000-1A00-000001000000}">
      <formula1>AND($G17&lt;=1,ISNUMBER($G17))</formula1>
    </dataValidation>
    <dataValidation type="list" allowBlank="1" showInputMessage="1" showErrorMessage="1" sqref="H68 E11:F11" xr:uid="{00000000-0002-0000-1A00-000002000000}">
      <formula1>MACATANGAY!DateCalc</formula1>
    </dataValidation>
    <dataValidation type="list" allowBlank="1" showInputMessage="1" showErrorMessage="1" sqref="D11 H45" xr:uid="{00000000-0002-0000-1A00-000003000000}">
      <formula1>DateCalc</formula1>
    </dataValidation>
    <dataValidation type="list" allowBlank="1" showInputMessage="1" showErrorMessage="1" sqref="I68 G11 D68:G68" xr:uid="{00000000-0002-0000-1A00-000004000000}"/>
  </dataValidations>
  <pageMargins left="0.28437499999999999" right="0.25" top="0.359722222222222" bottom="0.39791666666666697" header="0.29861111111111099" footer="0.29861111111111099"/>
  <pageSetup paperSize="9" scale="91" orientation="landscape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1665" r:id="rId4" name="Check Box 1">
              <controlPr defaultSize="0" print="0" autoPict="0">
                <anchor moveWithCells="1">
                  <from>
                    <xdr:col>7</xdr:col>
                    <xdr:colOff>180975</xdr:colOff>
                    <xdr:row>9</xdr:row>
                    <xdr:rowOff>28575</xdr:rowOff>
                  </from>
                  <to>
                    <xdr:col>8</xdr:col>
                    <xdr:colOff>571500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A00-000005000000}">
          <x14:formula1>
            <xm:f>Data!$B$2:$B$13</xm:f>
          </x14:formula1>
          <xm:sqref>C11 G45</xm:sqref>
        </x14:dataValidation>
        <x14:dataValidation type="list" allowBlank="1" showInputMessage="1" showErrorMessage="1" xr:uid="{00000000-0002-0000-1A00-000006000000}">
          <x14:formula1>
            <xm:f>Data!$A$2:$A$15</xm:f>
          </x14:formula1>
          <xm:sqref>B11 D45:F45</xm:sqref>
        </x14:dataValidation>
        <x14:dataValidation type="list" allowBlank="1" showInputMessage="1" showErrorMessage="1" xr:uid="{00000000-0002-0000-1A00-000007000000}">
          <x14:formula1>
            <xm:f>Data!$D$2:$D$16</xm:f>
          </x14:formula1>
          <xm:sqref>I45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5:AH71"/>
  <sheetViews>
    <sheetView showGridLines="0" view="pageLayout" topLeftCell="A16" zoomScaleNormal="100" workbookViewId="0">
      <selection activeCell="H28" sqref="H28"/>
    </sheetView>
  </sheetViews>
  <sheetFormatPr defaultColWidth="9" defaultRowHeight="12.75"/>
  <cols>
    <col min="1" max="1" width="1.625" customWidth="1"/>
    <col min="2" max="2" width="5.375" customWidth="1"/>
    <col min="3" max="3" width="7.125" customWidth="1"/>
    <col min="4" max="6" width="7.625" customWidth="1"/>
    <col min="7" max="7" width="10.125" customWidth="1"/>
    <col min="8" max="8" width="9.625" customWidth="1"/>
    <col min="9" max="9" width="8.125" customWidth="1"/>
    <col min="10" max="10" width="10.125" customWidth="1"/>
    <col min="11" max="11" width="7.875" customWidth="1"/>
    <col min="12" max="12" width="9.625" customWidth="1"/>
    <col min="13" max="13" width="11.375" customWidth="1"/>
    <col min="14" max="14" width="11.875" customWidth="1"/>
    <col min="15" max="15" width="16.875" customWidth="1"/>
    <col min="16" max="16" width="9.125" bestFit="1" customWidth="1"/>
    <col min="17" max="17" width="10.375" bestFit="1" customWidth="1"/>
    <col min="18" max="18" width="11.125" customWidth="1"/>
  </cols>
  <sheetData>
    <row r="5" spans="1:21" ht="25.5" customHeight="1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21" s="47" customFormat="1" ht="25.5" customHeight="1">
      <c r="A6" s="603"/>
      <c r="B6" s="603"/>
      <c r="C6" s="603"/>
      <c r="D6" s="603"/>
      <c r="E6" s="603"/>
      <c r="F6" s="603"/>
      <c r="G6" s="603"/>
      <c r="H6" s="603"/>
      <c r="I6" s="603"/>
      <c r="J6" s="603"/>
      <c r="K6" s="603"/>
      <c r="L6" s="603"/>
      <c r="M6" s="603"/>
      <c r="N6" s="603"/>
    </row>
    <row r="7" spans="1:21" ht="18.75" customHeight="1">
      <c r="C7" s="527" t="s">
        <v>3</v>
      </c>
      <c r="D7" s="527"/>
      <c r="E7" s="49"/>
      <c r="F7" s="49"/>
      <c r="G7" s="50" t="s">
        <v>220</v>
      </c>
      <c r="H7" s="51"/>
      <c r="K7" s="49" t="s">
        <v>174</v>
      </c>
      <c r="M7" s="599" t="str">
        <f>PAALAN!L7</f>
        <v>September  11-25, 2026</v>
      </c>
      <c r="N7" s="599"/>
      <c r="O7" s="599"/>
    </row>
    <row r="8" spans="1:21" ht="18.75" customHeight="1">
      <c r="C8" s="527" t="s">
        <v>175</v>
      </c>
      <c r="D8" s="527"/>
      <c r="E8" s="49"/>
      <c r="F8" s="49"/>
      <c r="G8" s="50" t="s">
        <v>199</v>
      </c>
      <c r="H8" s="51"/>
      <c r="K8" s="49" t="s">
        <v>176</v>
      </c>
      <c r="L8" s="92"/>
      <c r="M8" s="600" t="str">
        <f>PAALAN!L8</f>
        <v>9/31/2026</v>
      </c>
      <c r="N8" s="600"/>
      <c r="O8" s="600"/>
    </row>
    <row r="9" spans="1:21">
      <c r="C9" s="52"/>
      <c r="D9" s="53"/>
      <c r="E9" s="53"/>
      <c r="F9" s="53"/>
      <c r="G9" s="53"/>
    </row>
    <row r="10" spans="1:21">
      <c r="B10" s="54" t="s">
        <v>10</v>
      </c>
      <c r="C10" s="54" t="s">
        <v>11</v>
      </c>
      <c r="D10" s="54" t="s">
        <v>12</v>
      </c>
      <c r="E10" s="54"/>
      <c r="F10" s="54"/>
      <c r="G10" s="55" t="s">
        <v>13</v>
      </c>
    </row>
    <row r="11" spans="1:21">
      <c r="B11" s="56">
        <v>2026</v>
      </c>
      <c r="C11" s="56" t="s">
        <v>177</v>
      </c>
      <c r="D11" s="56">
        <v>11</v>
      </c>
      <c r="E11" s="56"/>
      <c r="F11" s="56"/>
      <c r="G11" s="56" t="s">
        <v>178</v>
      </c>
    </row>
    <row r="12" spans="1:21">
      <c r="B12" s="57"/>
      <c r="C12" s="57"/>
      <c r="H12" s="57"/>
      <c r="K12" s="57"/>
      <c r="L12" s="57"/>
      <c r="M12" s="57"/>
    </row>
    <row r="13" spans="1:21" ht="32.1" customHeight="1">
      <c r="B13" s="159" t="s">
        <v>16</v>
      </c>
      <c r="C13" s="159" t="s">
        <v>17</v>
      </c>
      <c r="D13" s="159" t="s">
        <v>18</v>
      </c>
      <c r="E13" s="160"/>
      <c r="F13" s="160"/>
      <c r="G13" s="160" t="s">
        <v>19</v>
      </c>
      <c r="H13" s="161" t="s">
        <v>179</v>
      </c>
      <c r="L13" s="93"/>
      <c r="M13" s="93"/>
      <c r="N13" s="94"/>
      <c r="O13" s="159" t="s">
        <v>16</v>
      </c>
      <c r="P13" s="159" t="s">
        <v>17</v>
      </c>
      <c r="Q13" s="159" t="s">
        <v>18</v>
      </c>
      <c r="R13" s="160"/>
      <c r="S13" s="160"/>
      <c r="T13" s="160" t="s">
        <v>19</v>
      </c>
      <c r="U13" s="161" t="s">
        <v>179</v>
      </c>
    </row>
    <row r="14" spans="1:21">
      <c r="B14" s="61">
        <v>0.33333333333333331</v>
      </c>
      <c r="C14" s="62">
        <v>10</v>
      </c>
      <c r="D14" s="63">
        <f>(17158.67/26)/8</f>
        <v>82.493605769230754</v>
      </c>
      <c r="E14" s="142"/>
      <c r="F14" s="142"/>
      <c r="G14" s="64">
        <f>(D14*25%)+D14</f>
        <v>103.11700721153844</v>
      </c>
      <c r="H14" s="65">
        <v>104</v>
      </c>
      <c r="I14" s="95"/>
      <c r="L14" s="57"/>
      <c r="M14" s="57"/>
      <c r="N14" s="95"/>
      <c r="O14" s="61">
        <v>0.375</v>
      </c>
      <c r="P14" s="62">
        <v>3</v>
      </c>
      <c r="Q14" s="63">
        <f>(14427.92/26)/8</f>
        <v>69.364999999999995</v>
      </c>
      <c r="R14" s="142"/>
      <c r="S14" s="142"/>
      <c r="T14" s="64">
        <f>(Q14*25%)+Q14</f>
        <v>86.706249999999997</v>
      </c>
      <c r="U14" s="65">
        <v>99</v>
      </c>
    </row>
    <row r="15" spans="1:21">
      <c r="H15" s="65"/>
      <c r="N15" s="96"/>
    </row>
    <row r="16" spans="1:21" ht="23.25">
      <c r="B16" s="66"/>
      <c r="C16" s="67" t="s">
        <v>20</v>
      </c>
      <c r="D16" s="67" t="s">
        <v>12</v>
      </c>
      <c r="E16" s="67"/>
      <c r="F16" s="67"/>
      <c r="G16" s="67" t="s">
        <v>21</v>
      </c>
      <c r="H16" s="67" t="s">
        <v>22</v>
      </c>
      <c r="I16" s="68" t="s">
        <v>23</v>
      </c>
      <c r="J16" s="68" t="s">
        <v>24</v>
      </c>
      <c r="K16" s="68" t="s">
        <v>25</v>
      </c>
      <c r="L16" s="67" t="s">
        <v>180</v>
      </c>
      <c r="M16" s="134" t="s">
        <v>181</v>
      </c>
      <c r="N16" s="67" t="s">
        <v>26</v>
      </c>
    </row>
    <row r="17" spans="2:34">
      <c r="B17" s="432">
        <v>1</v>
      </c>
      <c r="C17" s="429">
        <f>DATE($B$11,MATCH($C$11,Data!$B$2:$B$13,0),ALEJANDRINO!$D$11)</f>
        <v>46276</v>
      </c>
      <c r="D17" s="430">
        <f>DATE($B$11,MATCH($C$11,Data!$B$2:$B$13,0),ALEJANDRINO!$D$11)</f>
        <v>46276</v>
      </c>
      <c r="E17" s="424">
        <v>0.33680555555555558</v>
      </c>
      <c r="F17" s="424">
        <v>0</v>
      </c>
      <c r="G17" s="424">
        <f t="shared" ref="G17" si="0">E17-F17</f>
        <v>0.33680555555555558</v>
      </c>
      <c r="H17" s="424">
        <v>0.75</v>
      </c>
      <c r="I17" s="425">
        <v>1</v>
      </c>
      <c r="J17" s="425">
        <f t="shared" ref="J17:J31" si="1">IFERROR(IF(AND(G17&lt;&gt;"",H17&lt;&gt;""),IF(G17&gt;$B$14+TIME($C$14,($C$14-INT($C$14))*60,0),0,IF(H17&gt;$B$14+TIME($C$14,($C$14-INT($C$14))*60,0),MIN(TIME($C$14,($C$14-INT($C$14))*60,0),($B$14+TIME($C$14,($C$14-INT($C$14))*60,0)-G17)),MIN(IF((H17-$B$14)&lt;0,0,(H17-$B$14)),(H17-G17))))*24,"")-I17,"")</f>
        <v>8.9166666666666661</v>
      </c>
      <c r="K17" s="425">
        <f t="shared" ref="K17:K22" si="2">IF(AND(G17&lt;&gt;"",H17&lt;&gt;""),((IF(G17&lt;$B$14,MIN($B$14-G17,H17-G17),0)+IF(H17&gt;$B$14+TIME($C$14,($C$14-INT($C$14))*60,0),MIN((H17-$B$14-TIME($C$14,($C$14-INT($C$14))*60,0)),(H17-G17)),0))*24),"")</f>
        <v>0</v>
      </c>
      <c r="L17" s="431">
        <f>E17-B14</f>
        <v>3.4722222222222654E-3</v>
      </c>
      <c r="M17" s="423">
        <f>(D14/60)*0</f>
        <v>0</v>
      </c>
      <c r="N17" s="427">
        <f>IFERROR(J17*IF(AND(ISNUMBER(SEARCH(TEXT(C17,"ddd"),$G$11)),Data!$F$2),$G$14,$D$14)+K17*$G$14,"")</f>
        <v>735.56798477564087</v>
      </c>
      <c r="O17" s="141">
        <f t="shared" ref="O17:O30" si="3">M17+N17</f>
        <v>735.56798477564087</v>
      </c>
      <c r="P17" s="100"/>
      <c r="Q17" s="89"/>
    </row>
    <row r="18" spans="2:34">
      <c r="B18" s="432">
        <v>2</v>
      </c>
      <c r="C18" s="429">
        <f t="shared" ref="C18:D31" si="4">C17+1</f>
        <v>46277</v>
      </c>
      <c r="D18" s="430">
        <f t="shared" si="4"/>
        <v>46277</v>
      </c>
      <c r="E18" s="424">
        <v>0.38819444444444445</v>
      </c>
      <c r="F18" s="424">
        <v>0</v>
      </c>
      <c r="G18" s="424">
        <f t="shared" ref="G18:G22" si="5">E18-F18</f>
        <v>0.38819444444444445</v>
      </c>
      <c r="H18" s="424">
        <v>0.5</v>
      </c>
      <c r="I18" s="425">
        <v>0</v>
      </c>
      <c r="J18" s="425">
        <f t="shared" si="1"/>
        <v>2.6833333333333331</v>
      </c>
      <c r="K18" s="425">
        <f t="shared" si="2"/>
        <v>0</v>
      </c>
      <c r="L18" s="431">
        <f>E18-B14</f>
        <v>5.4861111111111138E-2</v>
      </c>
      <c r="M18" s="423">
        <f>(D14/60)*0</f>
        <v>0</v>
      </c>
      <c r="N18" s="427">
        <f>IFERROR(J18*IF(AND(ISNUMBER(SEARCH(TEXT(C18,"ddd"),$G$11)),Data!$F$2),$G$14,$D$14)+K18*$G$14,"")</f>
        <v>221.35784214743583</v>
      </c>
      <c r="O18" s="141">
        <f t="shared" si="3"/>
        <v>221.35784214743583</v>
      </c>
      <c r="P18" s="89"/>
      <c r="Q18" s="89"/>
    </row>
    <row r="19" spans="2:34">
      <c r="B19" s="432"/>
      <c r="C19" s="429">
        <f t="shared" si="4"/>
        <v>46278</v>
      </c>
      <c r="D19" s="430">
        <f t="shared" si="4"/>
        <v>46278</v>
      </c>
      <c r="E19" s="424">
        <v>0</v>
      </c>
      <c r="F19" s="424">
        <v>0</v>
      </c>
      <c r="G19" s="424">
        <f t="shared" si="5"/>
        <v>0</v>
      </c>
      <c r="H19" s="424">
        <v>0</v>
      </c>
      <c r="I19" s="425">
        <v>0</v>
      </c>
      <c r="J19" s="425">
        <f t="shared" ref="J19:J21" si="6">IFERROR(IF(AND(G19&lt;&gt;"",H19&lt;&gt;""),IF(G19&gt;$B$14+TIME($C$14,($C$14-INT($C$14))*60,0),0,IF(H19&gt;$B$14+TIME($C$14,($C$14-INT($C$14))*60,0),MIN(TIME($C$14,($C$14-INT($C$14))*60,0),($B$14+TIME($C$14,($C$14-INT($C$14))*60,0)-G19)),MIN(IF((H19-$B$14)&lt;0,0,(H19-$B$14)),(H19-G19))))*24,"")-I19,"")</f>
        <v>0</v>
      </c>
      <c r="K19" s="425">
        <f t="shared" ref="K19" si="7">IF(AND(G19&lt;&gt;"",H19&lt;&gt;""),((IF(G19&lt;$B$14,MIN($B$14-G19,H19-G19),0)+IF(H19&gt;$B$14+TIME($C$14,($C$14-INT($C$14))*60,0),MIN((H19-$B$14-TIME($C$14,($C$14-INT($C$14))*60,0)),(H19-G19)),0))*24),"")</f>
        <v>0</v>
      </c>
      <c r="L19" s="431">
        <v>0</v>
      </c>
      <c r="M19" s="98">
        <f>(D14/60)*0</f>
        <v>0</v>
      </c>
      <c r="N19" s="251">
        <f>IFERROR(J19*IF(AND(ISNUMBER(SEARCH(TEXT(C19,"ddd"),$G$11)),Data!$F$2),$G$14,$D$14)+K19*$G$14,"")</f>
        <v>0</v>
      </c>
      <c r="O19" s="141">
        <f t="shared" si="3"/>
        <v>0</v>
      </c>
      <c r="P19" s="100"/>
      <c r="Q19" s="104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</row>
    <row r="20" spans="2:34">
      <c r="B20" s="432">
        <v>3</v>
      </c>
      <c r="C20" s="429">
        <f t="shared" si="4"/>
        <v>46279</v>
      </c>
      <c r="D20" s="430">
        <f t="shared" si="4"/>
        <v>46279</v>
      </c>
      <c r="E20" s="424">
        <v>0.34722222222222221</v>
      </c>
      <c r="F20" s="424">
        <v>0</v>
      </c>
      <c r="G20" s="424">
        <f>E20-F20</f>
        <v>0.34722222222222221</v>
      </c>
      <c r="H20" s="424">
        <v>0.75</v>
      </c>
      <c r="I20" s="425">
        <v>1</v>
      </c>
      <c r="J20" s="425">
        <f t="shared" si="6"/>
        <v>8.6666666666666679</v>
      </c>
      <c r="K20" s="425">
        <f t="shared" si="2"/>
        <v>0</v>
      </c>
      <c r="L20" s="431">
        <f>G20-B14</f>
        <v>1.3888888888888895E-2</v>
      </c>
      <c r="M20" s="423">
        <f>(D14/60)*0</f>
        <v>0</v>
      </c>
      <c r="N20" s="427">
        <f>IFERROR(J20*IF(AND(ISNUMBER(SEARCH(TEXT(C20,"ddd"),$G$11)),Data!$F$2),$G$14,$D$14)+K20*$G$14,"")</f>
        <v>714.9445833333333</v>
      </c>
      <c r="O20" s="141">
        <f t="shared" si="3"/>
        <v>714.9445833333333</v>
      </c>
      <c r="P20" s="103"/>
      <c r="Q20" s="103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28"/>
    </row>
    <row r="21" spans="2:34">
      <c r="B21" s="432">
        <v>4</v>
      </c>
      <c r="C21" s="429">
        <f t="shared" si="4"/>
        <v>46280</v>
      </c>
      <c r="D21" s="430">
        <f t="shared" si="4"/>
        <v>46280</v>
      </c>
      <c r="E21" s="424">
        <v>0.33333333333333331</v>
      </c>
      <c r="F21" s="424">
        <v>0</v>
      </c>
      <c r="G21" s="424">
        <f t="shared" ref="G21" si="8">E21-F21</f>
        <v>0.33333333333333331</v>
      </c>
      <c r="H21" s="424">
        <v>0.75</v>
      </c>
      <c r="I21" s="425">
        <v>1</v>
      </c>
      <c r="J21" s="425">
        <f t="shared" si="6"/>
        <v>9</v>
      </c>
      <c r="K21" s="425">
        <f t="shared" si="2"/>
        <v>0</v>
      </c>
      <c r="L21" s="431">
        <f>G21-B14</f>
        <v>0</v>
      </c>
      <c r="M21" s="423">
        <f>(D14/60)*0</f>
        <v>0</v>
      </c>
      <c r="N21" s="427">
        <f>IFERROR(J21*IF(AND(ISNUMBER(SEARCH(TEXT(C21,"ddd"),$G$11)),Data!$F$2),$G$14,$D$14)+K21*$G$14,"")</f>
        <v>742.44245192307676</v>
      </c>
      <c r="O21" s="141">
        <f t="shared" si="3"/>
        <v>742.44245192307676</v>
      </c>
      <c r="P21" s="162"/>
      <c r="Q21" s="108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4"/>
    </row>
    <row r="22" spans="2:34">
      <c r="B22" s="432">
        <v>5</v>
      </c>
      <c r="C22" s="429">
        <f t="shared" si="4"/>
        <v>46281</v>
      </c>
      <c r="D22" s="430">
        <f t="shared" si="4"/>
        <v>46281</v>
      </c>
      <c r="E22" s="424">
        <v>0.33333333333333331</v>
      </c>
      <c r="F22" s="424">
        <v>0</v>
      </c>
      <c r="G22" s="424">
        <f t="shared" si="5"/>
        <v>0.33333333333333331</v>
      </c>
      <c r="H22" s="424">
        <v>0.75</v>
      </c>
      <c r="I22" s="425">
        <v>1</v>
      </c>
      <c r="J22" s="425">
        <f t="shared" ref="J22:J23" si="9">IFERROR(IF(AND(G22&lt;&gt;"",H22&lt;&gt;""),IF(G22&gt;$B$14+TIME($C$14,($C$14-INT($C$14))*60,0),0,IF(H22&gt;$B$14+TIME($C$14,($C$14-INT($C$14))*60,0),MIN(TIME($C$14,($C$14-INT($C$14))*60,0),($B$14+TIME($C$14,($C$14-INT($C$14))*60,0)-G22)),MIN(IF((H22-$B$14)&lt;0,0,(H22-$B$14)),(H22-G22))))*24,"")-I22,"")</f>
        <v>9</v>
      </c>
      <c r="K22" s="425">
        <f t="shared" si="2"/>
        <v>0</v>
      </c>
      <c r="L22" s="431">
        <v>0</v>
      </c>
      <c r="M22" s="423">
        <f>(D14/60)*0</f>
        <v>0</v>
      </c>
      <c r="N22" s="427">
        <f>IFERROR(J22*IF(AND(ISNUMBER(SEARCH(TEXT(C22,"ddd"),$G$11)),Data!$F$2),$G$14,$D$14)+K22*$G$14,"")</f>
        <v>742.44245192307676</v>
      </c>
      <c r="O22" s="141">
        <f t="shared" si="3"/>
        <v>742.44245192307676</v>
      </c>
      <c r="P22" s="163">
        <f>O21-O22</f>
        <v>0</v>
      </c>
      <c r="Q22" s="135"/>
      <c r="R22" s="96">
        <v>0.40486111111111101</v>
      </c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4"/>
    </row>
    <row r="23" spans="2:34">
      <c r="B23" s="432">
        <v>6</v>
      </c>
      <c r="C23" s="429">
        <f t="shared" si="4"/>
        <v>46282</v>
      </c>
      <c r="D23" s="430">
        <f t="shared" si="4"/>
        <v>46282</v>
      </c>
      <c r="E23" s="424">
        <v>0.33333333333333331</v>
      </c>
      <c r="F23" s="424">
        <v>0</v>
      </c>
      <c r="G23" s="424">
        <f t="shared" ref="G23:G24" si="10">E23-F23</f>
        <v>0.33333333333333331</v>
      </c>
      <c r="H23" s="424">
        <v>0.75</v>
      </c>
      <c r="I23" s="425">
        <v>1</v>
      </c>
      <c r="J23" s="425">
        <f t="shared" si="9"/>
        <v>9</v>
      </c>
      <c r="K23" s="425">
        <f t="shared" ref="K23" si="11">IF(AND(G23&lt;&gt;"",H23&lt;&gt;""),((IF(G23&lt;$B$14,MIN($B$14-G23,H23-G23),0)+IF(H23&gt;$B$14+TIME($C$14,($C$14-INT($C$14))*60,0),MIN((H23-$B$14-TIME($C$14,($C$14-INT($C$14))*60,0)),(H23-G23)),0))*24),"")</f>
        <v>0</v>
      </c>
      <c r="L23" s="431">
        <v>0</v>
      </c>
      <c r="M23" s="423">
        <f>(D14/60)*0</f>
        <v>0</v>
      </c>
      <c r="N23" s="427">
        <f>IFERROR(J23*IF(AND(ISNUMBER(SEARCH(TEXT(C23,"ddd"),$G$11)),Data!$F$2),$G$14,$D$14)+K23*$G$14,"")</f>
        <v>742.44245192307676</v>
      </c>
      <c r="O23" s="141">
        <f t="shared" si="3"/>
        <v>742.44245192307676</v>
      </c>
      <c r="P23" s="150"/>
      <c r="Q23" s="89"/>
      <c r="R23" s="96">
        <v>1.0416666666666701E-2</v>
      </c>
    </row>
    <row r="24" spans="2:34">
      <c r="B24" s="432">
        <v>7</v>
      </c>
      <c r="C24" s="429">
        <f t="shared" si="4"/>
        <v>46283</v>
      </c>
      <c r="D24" s="430">
        <f t="shared" si="4"/>
        <v>46283</v>
      </c>
      <c r="E24" s="424">
        <v>0.3347222222222222</v>
      </c>
      <c r="F24" s="424">
        <v>0</v>
      </c>
      <c r="G24" s="424">
        <f t="shared" si="10"/>
        <v>0.3347222222222222</v>
      </c>
      <c r="H24" s="424">
        <v>0.75</v>
      </c>
      <c r="I24" s="425">
        <v>1</v>
      </c>
      <c r="J24" s="425">
        <f t="shared" ref="J24:J25" si="12">IFERROR(IF(AND(G24&lt;&gt;"",H24&lt;&gt;""),IF(G24&gt;$B$14+TIME($C$14,($C$14-INT($C$14))*60,0),0,IF(H24&gt;$B$14+TIME($C$14,($C$14-INT($C$14))*60,0),MIN(TIME($C$14,($C$14-INT($C$14))*60,0),($B$14+TIME($C$14,($C$14-INT($C$14))*60,0)-G24)),MIN(IF((H24-$B$14)&lt;0,0,(H24-$B$14)),(H24-G24))))*24,"")-I24,"")</f>
        <v>8.9666666666666668</v>
      </c>
      <c r="K24" s="425">
        <f t="shared" ref="K24:K27" si="13">IF(AND(G24&lt;&gt;"",H24&lt;&gt;""),((IF(G24&lt;$B$14,MIN($B$14-G24,H24-G24),0)+IF(H24&gt;$B$14+TIME($C$14,($C$14-INT($C$14))*60,0),MIN((H24-$B$14-TIME($C$14,($C$14-INT($C$14))*60,0)),(H24-G24)),0))*24),"")</f>
        <v>0</v>
      </c>
      <c r="L24" s="431">
        <f>G24-B14</f>
        <v>1.388888888888884E-3</v>
      </c>
      <c r="M24" s="423">
        <f>(D14/60)*0</f>
        <v>0</v>
      </c>
      <c r="N24" s="427">
        <f>IFERROR(J24*IF(AND(ISNUMBER(SEARCH(TEXT(C24,"ddd"),$G$11)),Data!$F$2),$G$14,$D$14)+K24*$G$14,"")</f>
        <v>739.69266506410247</v>
      </c>
      <c r="O24" s="141">
        <f t="shared" si="3"/>
        <v>739.69266506410247</v>
      </c>
      <c r="P24" s="155"/>
      <c r="Q24" s="89"/>
      <c r="R24" s="129">
        <f>R22-R23</f>
        <v>0.39444444444444432</v>
      </c>
    </row>
    <row r="25" spans="2:34">
      <c r="B25" s="432">
        <v>8</v>
      </c>
      <c r="C25" s="429">
        <f t="shared" si="4"/>
        <v>46284</v>
      </c>
      <c r="D25" s="430">
        <f t="shared" si="4"/>
        <v>46284</v>
      </c>
      <c r="E25" s="424">
        <v>0.39027777777777778</v>
      </c>
      <c r="F25" s="424">
        <v>0</v>
      </c>
      <c r="G25" s="424">
        <f t="shared" ref="G25:G29" si="14">E25-F25</f>
        <v>0.39027777777777778</v>
      </c>
      <c r="H25" s="424">
        <v>0.5</v>
      </c>
      <c r="I25" s="425">
        <v>0</v>
      </c>
      <c r="J25" s="425">
        <f t="shared" si="12"/>
        <v>2.6333333333333333</v>
      </c>
      <c r="K25" s="425">
        <f t="shared" si="13"/>
        <v>0</v>
      </c>
      <c r="L25" s="431">
        <f>E25-B14</f>
        <v>5.6944444444444464E-2</v>
      </c>
      <c r="M25" s="423">
        <f>(D14/60)*0</f>
        <v>0</v>
      </c>
      <c r="N25" s="427">
        <f>IFERROR(J25*IF(AND(ISNUMBER(SEARCH(TEXT(C25,"ddd"),$G$11)),Data!$F$2),$G$14,$D$14)+K25*$G$14,"")</f>
        <v>217.23316185897431</v>
      </c>
      <c r="O25" s="141">
        <f t="shared" si="3"/>
        <v>217.23316185897431</v>
      </c>
      <c r="P25" s="89"/>
      <c r="Q25" s="89"/>
    </row>
    <row r="26" spans="2:34">
      <c r="B26" s="432"/>
      <c r="C26" s="429">
        <f t="shared" si="4"/>
        <v>46285</v>
      </c>
      <c r="D26" s="430">
        <f t="shared" si="4"/>
        <v>46285</v>
      </c>
      <c r="E26" s="424">
        <v>0</v>
      </c>
      <c r="F26" s="424">
        <v>0</v>
      </c>
      <c r="G26" s="424">
        <f t="shared" si="14"/>
        <v>0</v>
      </c>
      <c r="H26" s="424">
        <v>0</v>
      </c>
      <c r="I26" s="425">
        <v>0</v>
      </c>
      <c r="J26" s="425">
        <f t="shared" si="1"/>
        <v>0</v>
      </c>
      <c r="K26" s="425">
        <f t="shared" si="13"/>
        <v>0</v>
      </c>
      <c r="L26" s="431">
        <v>0</v>
      </c>
      <c r="M26" s="98">
        <f>(D14/60)*0</f>
        <v>0</v>
      </c>
      <c r="N26" s="251">
        <f>IFERROR(J26*IF(AND(ISNUMBER(SEARCH(TEXT(C26,"ddd"),$G$11)),Data!$F$2),$G$14,$D$14)+K26*$G$14,"")</f>
        <v>0</v>
      </c>
      <c r="O26" s="141">
        <f t="shared" si="3"/>
        <v>0</v>
      </c>
      <c r="P26" s="89"/>
      <c r="Q26" s="89"/>
    </row>
    <row r="27" spans="2:34">
      <c r="B27" s="432">
        <v>9</v>
      </c>
      <c r="C27" s="429">
        <f t="shared" si="4"/>
        <v>46286</v>
      </c>
      <c r="D27" s="430">
        <f t="shared" si="4"/>
        <v>46286</v>
      </c>
      <c r="E27" s="424">
        <v>0.35625000000000001</v>
      </c>
      <c r="F27" s="424">
        <v>0</v>
      </c>
      <c r="G27" s="424">
        <f t="shared" si="14"/>
        <v>0.35625000000000001</v>
      </c>
      <c r="H27" s="424">
        <v>0.75</v>
      </c>
      <c r="I27" s="425">
        <v>1</v>
      </c>
      <c r="J27" s="425">
        <f t="shared" si="1"/>
        <v>8.4499999999999993</v>
      </c>
      <c r="K27" s="425">
        <f t="shared" si="13"/>
        <v>0</v>
      </c>
      <c r="L27" s="431">
        <f>E27-B14</f>
        <v>2.2916666666666696E-2</v>
      </c>
      <c r="M27" s="423">
        <f>(D14/60)*0</f>
        <v>0</v>
      </c>
      <c r="N27" s="427">
        <f>IFERROR(J27*IF(AND(ISNUMBER(SEARCH(TEXT(C27,"ddd"),$G$11)),Data!$F$2),$G$14,$D$14)+K27*$G$14,"")</f>
        <v>697.07096874999979</v>
      </c>
      <c r="O27" s="141">
        <f t="shared" si="3"/>
        <v>697.07096874999979</v>
      </c>
      <c r="P27" s="127"/>
      <c r="Q27" s="89"/>
    </row>
    <row r="28" spans="2:34">
      <c r="B28" s="432">
        <v>10</v>
      </c>
      <c r="C28" s="429">
        <f t="shared" si="4"/>
        <v>46287</v>
      </c>
      <c r="D28" s="430">
        <f t="shared" si="4"/>
        <v>46287</v>
      </c>
      <c r="E28" s="424">
        <v>0.34930555555555554</v>
      </c>
      <c r="F28" s="424">
        <v>0</v>
      </c>
      <c r="G28" s="424">
        <f t="shared" ref="G28" si="15">E28-F28</f>
        <v>0.34930555555555554</v>
      </c>
      <c r="H28" s="424">
        <v>0.75</v>
      </c>
      <c r="I28" s="425">
        <v>1</v>
      </c>
      <c r="J28" s="425">
        <f t="shared" ref="J28" si="16">IFERROR(IF(AND(G28&lt;&gt;"",H28&lt;&gt;""),IF(G28&gt;$B$14+TIME($C$14,($C$14-INT($C$14))*60,0),0,IF(H28&gt;$B$14+TIME($C$14,($C$14-INT($C$14))*60,0),MIN(TIME($C$14,($C$14-INT($C$14))*60,0),($B$14+TIME($C$14,($C$14-INT($C$14))*60,0)-G28)),MIN(IF((H28-$B$14)&lt;0,0,(H28-$B$14)),(H28-G28))))*24,"")-I28,"")</f>
        <v>8.6166666666666671</v>
      </c>
      <c r="K28" s="425">
        <f t="shared" ref="K28:K29" si="17">IF(AND(G28&lt;&gt;"",H28&lt;&gt;""),((IF(G28&lt;$B$14,MIN($B$14-G28,H28-G28),0)+IF(H28&gt;$B$14+TIME($C$14,($C$14-INT($C$14))*60,0),MIN((H28-$B$14-TIME($C$14,($C$14-INT($C$14))*60,0)),(H28-G28)),0))*24),"")</f>
        <v>0</v>
      </c>
      <c r="L28" s="431">
        <f>G28-B14</f>
        <v>1.5972222222222221E-2</v>
      </c>
      <c r="M28" s="423">
        <f>(D14/60)*0</f>
        <v>0</v>
      </c>
      <c r="N28" s="427">
        <f>IFERROR(J28*IF(AND(ISNUMBER(SEARCH(TEXT(C28,"ddd"),$G$11)),Data!$F$2),$G$14,$D$14)+K28*$G$14,"")</f>
        <v>710.81990304487169</v>
      </c>
      <c r="O28" s="141">
        <f t="shared" si="3"/>
        <v>710.81990304487169</v>
      </c>
      <c r="Q28" s="89"/>
    </row>
    <row r="29" spans="2:34">
      <c r="B29" s="432">
        <v>11</v>
      </c>
      <c r="C29" s="429">
        <f t="shared" si="4"/>
        <v>46288</v>
      </c>
      <c r="D29" s="430">
        <f t="shared" si="4"/>
        <v>46288</v>
      </c>
      <c r="E29" s="424">
        <v>0.35555555555555557</v>
      </c>
      <c r="F29" s="424">
        <v>0</v>
      </c>
      <c r="G29" s="424">
        <f t="shared" si="14"/>
        <v>0.35555555555555557</v>
      </c>
      <c r="H29" s="424">
        <v>0.75</v>
      </c>
      <c r="I29" s="425">
        <v>1</v>
      </c>
      <c r="J29" s="425">
        <f t="shared" si="1"/>
        <v>8.4666666666666668</v>
      </c>
      <c r="K29" s="425">
        <f t="shared" si="17"/>
        <v>0</v>
      </c>
      <c r="L29" s="431">
        <f>E29-B14</f>
        <v>2.2222222222222254E-2</v>
      </c>
      <c r="M29" s="423">
        <f>(D14/60)*0</f>
        <v>0</v>
      </c>
      <c r="N29" s="427">
        <f>IFERROR(J29*IF(AND(ISNUMBER(SEARCH(TEXT(C29,"ddd"),$G$11)),Data!$F$2),$G$14,$D$14)+K29*$G$14,"")</f>
        <v>698.44586217948711</v>
      </c>
      <c r="O29" s="141">
        <f>M29+N29</f>
        <v>698.44586217948711</v>
      </c>
      <c r="P29" s="95">
        <f>O28-O29</f>
        <v>12.374040865384586</v>
      </c>
      <c r="Q29" s="89"/>
    </row>
    <row r="30" spans="2:34">
      <c r="B30" s="432">
        <v>12</v>
      </c>
      <c r="C30" s="429">
        <f t="shared" si="4"/>
        <v>46289</v>
      </c>
      <c r="D30" s="430">
        <f t="shared" si="4"/>
        <v>46289</v>
      </c>
      <c r="E30" s="424">
        <v>0.33333333333333331</v>
      </c>
      <c r="F30" s="424">
        <v>0</v>
      </c>
      <c r="G30" s="424">
        <f>E30-F30</f>
        <v>0.33333333333333331</v>
      </c>
      <c r="H30" s="424">
        <v>0.75</v>
      </c>
      <c r="I30" s="425">
        <v>1</v>
      </c>
      <c r="J30" s="425">
        <f t="shared" si="1"/>
        <v>9</v>
      </c>
      <c r="K30" s="425">
        <v>0</v>
      </c>
      <c r="L30" s="431">
        <f>G30-B14</f>
        <v>0</v>
      </c>
      <c r="M30" s="423">
        <f>(D14/60)*0</f>
        <v>0</v>
      </c>
      <c r="N30" s="427">
        <f>IFERROR(J30*IF(AND(ISNUMBER(SEARCH(TEXT(C30,"ddd"),$G$11)),Data!$F$2),$G$14,$D$14)+K30*$G$14,"")</f>
        <v>742.44245192307676</v>
      </c>
      <c r="O30" s="141">
        <f t="shared" si="3"/>
        <v>742.44245192307676</v>
      </c>
      <c r="P30" s="127"/>
      <c r="Q30" s="89"/>
    </row>
    <row r="31" spans="2:34">
      <c r="B31" s="432">
        <v>13</v>
      </c>
      <c r="C31" s="429">
        <f t="shared" si="4"/>
        <v>46290</v>
      </c>
      <c r="D31" s="430">
        <f t="shared" si="4"/>
        <v>46290</v>
      </c>
      <c r="E31" s="424">
        <v>0.33333333333333331</v>
      </c>
      <c r="F31" s="424">
        <v>0</v>
      </c>
      <c r="G31" s="424">
        <f>E31-F31</f>
        <v>0.33333333333333331</v>
      </c>
      <c r="H31" s="424">
        <v>0.75</v>
      </c>
      <c r="I31" s="425">
        <v>1</v>
      </c>
      <c r="J31" s="425">
        <f t="shared" si="1"/>
        <v>9</v>
      </c>
      <c r="K31" s="425">
        <v>0</v>
      </c>
      <c r="L31" s="431">
        <f>E31-B14</f>
        <v>0</v>
      </c>
      <c r="M31" s="423">
        <f>(D14/60)*0</f>
        <v>0</v>
      </c>
      <c r="N31" s="427">
        <f>IFERROR(J31*IF(AND(ISNUMBER(SEARCH(TEXT(C31,"ddd"),$G$11)),Data!$F$2),$G$14,$D$14)+K31*$G$14,"")</f>
        <v>742.44245192307676</v>
      </c>
      <c r="O31" s="141">
        <f>M31+N31</f>
        <v>742.44245192307676</v>
      </c>
      <c r="P31" s="95">
        <f>O28-O31</f>
        <v>-31.622548878205066</v>
      </c>
    </row>
    <row r="32" spans="2:34">
      <c r="B32" s="441"/>
      <c r="C32" s="442"/>
      <c r="D32" s="443"/>
      <c r="E32" s="444"/>
      <c r="F32" s="444"/>
      <c r="G32" s="593" t="s">
        <v>182</v>
      </c>
      <c r="H32" s="594"/>
      <c r="I32" s="445">
        <f>SUM(I17:I31)</f>
        <v>11</v>
      </c>
      <c r="J32" s="445">
        <f>SUM(J17:J31)</f>
        <v>102.4</v>
      </c>
      <c r="K32" s="445">
        <f>SUM(K17:K31)</f>
        <v>0</v>
      </c>
      <c r="L32" s="446">
        <f>SUM(L17:L31)</f>
        <v>0.19166666666666682</v>
      </c>
      <c r="M32" s="447">
        <f>SUM(M17:M31)</f>
        <v>0</v>
      </c>
      <c r="N32" s="441"/>
      <c r="O32" s="165">
        <f>SUM(O17:O31)</f>
        <v>8447.3452307692296</v>
      </c>
      <c r="P32" s="165">
        <f>SUM(P17:P31)</f>
        <v>-19.24850801282048</v>
      </c>
      <c r="Q32" s="95">
        <f>O32+P32</f>
        <v>8428.0967227564088</v>
      </c>
    </row>
    <row r="33" spans="2:17">
      <c r="B33" s="66"/>
      <c r="C33" s="76"/>
      <c r="D33" s="77"/>
      <c r="E33" s="144"/>
      <c r="F33" s="144"/>
      <c r="G33" s="81" t="s">
        <v>39</v>
      </c>
      <c r="H33" s="82"/>
      <c r="I33" s="83"/>
      <c r="J33" s="84"/>
      <c r="K33" s="116"/>
      <c r="L33" s="330">
        <f>(D14/60)*598</f>
        <v>822.1862708333332</v>
      </c>
      <c r="M33" s="118"/>
      <c r="N33" s="166">
        <f>(D14*H14)-N37</f>
        <v>8579.3349999999991</v>
      </c>
      <c r="O33" s="95"/>
      <c r="P33" s="95"/>
      <c r="Q33" s="95"/>
    </row>
    <row r="34" spans="2:17">
      <c r="B34" s="65"/>
      <c r="C34" s="65"/>
      <c r="D34" s="85"/>
      <c r="E34" s="85"/>
      <c r="F34" s="85"/>
      <c r="G34" s="592" t="s">
        <v>183</v>
      </c>
      <c r="H34" s="592"/>
      <c r="I34" s="80"/>
      <c r="J34" s="80">
        <f>H14-J32</f>
        <v>1.5999999999999943</v>
      </c>
      <c r="K34" s="65"/>
      <c r="L34" s="120"/>
      <c r="M34" s="65"/>
      <c r="N34" s="121">
        <f>M32</f>
        <v>0</v>
      </c>
      <c r="O34" s="151">
        <f>O32-O33</f>
        <v>8447.3452307692296</v>
      </c>
      <c r="P34" s="95"/>
      <c r="Q34" s="95"/>
    </row>
    <row r="35" spans="2:17">
      <c r="B35" s="65"/>
      <c r="C35" s="65"/>
      <c r="D35" s="85"/>
      <c r="E35" s="145"/>
      <c r="F35" s="145"/>
      <c r="G35" s="78" t="s">
        <v>41</v>
      </c>
      <c r="H35" s="79"/>
      <c r="I35" s="66"/>
      <c r="J35" s="66"/>
      <c r="K35" s="80"/>
      <c r="L35" s="80"/>
      <c r="M35" s="80"/>
      <c r="N35" s="121">
        <f>N33-N34</f>
        <v>8579.3349999999991</v>
      </c>
      <c r="O35" s="95"/>
      <c r="P35" s="95"/>
      <c r="Q35" s="95"/>
    </row>
    <row r="36" spans="2:17">
      <c r="B36" s="65"/>
      <c r="C36" s="65"/>
      <c r="D36" s="85"/>
      <c r="E36" s="146"/>
      <c r="F36" s="146"/>
      <c r="G36" s="604" t="s">
        <v>184</v>
      </c>
      <c r="H36" s="605"/>
      <c r="I36" s="80"/>
      <c r="J36" s="401"/>
      <c r="K36" s="122"/>
      <c r="L36" s="122"/>
      <c r="M36" s="122"/>
      <c r="N36" s="123">
        <f>(G14*K32)</f>
        <v>0</v>
      </c>
      <c r="O36" s="95"/>
    </row>
    <row r="37" spans="2:17">
      <c r="B37" s="65"/>
      <c r="C37" s="65"/>
      <c r="D37" s="85"/>
      <c r="E37" s="146"/>
      <c r="F37" s="146"/>
      <c r="G37" s="86" t="s">
        <v>185</v>
      </c>
      <c r="H37" s="87"/>
      <c r="I37" s="80"/>
      <c r="J37" s="66"/>
      <c r="K37" s="122"/>
      <c r="L37" s="122"/>
      <c r="M37" s="122"/>
      <c r="N37" s="123">
        <v>0</v>
      </c>
      <c r="O37" s="95"/>
    </row>
    <row r="38" spans="2:17">
      <c r="B38" s="65"/>
      <c r="C38" s="65"/>
      <c r="D38" s="85"/>
      <c r="E38" s="145"/>
      <c r="F38" s="145"/>
      <c r="G38" s="597" t="s">
        <v>186</v>
      </c>
      <c r="H38" s="598"/>
      <c r="I38" s="66"/>
      <c r="J38" s="66"/>
      <c r="K38" s="66"/>
      <c r="L38" s="66"/>
      <c r="M38" s="66"/>
      <c r="N38" s="124">
        <f>N35+N36+N37</f>
        <v>8579.3349999999991</v>
      </c>
      <c r="O38" s="95"/>
    </row>
    <row r="39" spans="2:17">
      <c r="D39" s="88"/>
      <c r="E39" s="88"/>
      <c r="F39" s="88"/>
      <c r="G39" s="589"/>
      <c r="H39" s="589"/>
      <c r="I39" s="90"/>
      <c r="J39" s="90"/>
      <c r="K39" s="125"/>
      <c r="L39" s="125"/>
      <c r="M39" s="125"/>
      <c r="N39" s="126"/>
      <c r="O39" s="127"/>
    </row>
    <row r="40" spans="2:17">
      <c r="D40" s="91"/>
      <c r="E40" s="91"/>
      <c r="F40" s="91"/>
      <c r="M40" t="s">
        <v>196</v>
      </c>
    </row>
    <row r="41" spans="2:17">
      <c r="B41" s="590" t="s">
        <v>187</v>
      </c>
      <c r="C41" s="590"/>
      <c r="D41" s="590"/>
      <c r="E41" s="590"/>
      <c r="F41" s="590"/>
      <c r="G41" s="590"/>
      <c r="H41" s="590"/>
      <c r="I41" s="590"/>
      <c r="J41" s="590"/>
      <c r="K41" s="590"/>
      <c r="L41" s="590"/>
      <c r="M41" s="590"/>
      <c r="N41" s="590"/>
    </row>
    <row r="42" spans="2:17">
      <c r="D42" s="91"/>
      <c r="E42" s="91"/>
      <c r="F42" s="91"/>
    </row>
    <row r="43" spans="2:17">
      <c r="D43" s="91" t="s">
        <v>188</v>
      </c>
      <c r="E43" s="91"/>
      <c r="F43" s="91"/>
      <c r="N43" s="95"/>
    </row>
    <row r="44" spans="2:17">
      <c r="D44" s="54" t="s">
        <v>10</v>
      </c>
      <c r="E44" s="54"/>
      <c r="F44" s="54"/>
      <c r="G44" s="54" t="s">
        <v>11</v>
      </c>
      <c r="H44" s="54" t="s">
        <v>12</v>
      </c>
      <c r="I44" s="55" t="s">
        <v>13</v>
      </c>
    </row>
    <row r="45" spans="2:17">
      <c r="D45" s="56">
        <v>2026</v>
      </c>
      <c r="E45" s="56"/>
      <c r="F45" s="56"/>
      <c r="G45" s="56" t="s">
        <v>204</v>
      </c>
      <c r="H45" s="56">
        <v>12</v>
      </c>
      <c r="I45" s="56" t="s">
        <v>15</v>
      </c>
    </row>
    <row r="46" spans="2:17">
      <c r="D46" s="57"/>
      <c r="E46" s="57"/>
      <c r="F46" s="57"/>
      <c r="G46" s="57"/>
    </row>
    <row r="47" spans="2:17" ht="33.75">
      <c r="D47" s="159" t="s">
        <v>16</v>
      </c>
      <c r="E47" s="159"/>
      <c r="F47" s="159"/>
      <c r="G47" s="159" t="s">
        <v>17</v>
      </c>
      <c r="H47" s="159" t="s">
        <v>18</v>
      </c>
      <c r="I47" s="159" t="s">
        <v>19</v>
      </c>
    </row>
    <row r="48" spans="2:17">
      <c r="D48" s="61">
        <v>0.33333333333333298</v>
      </c>
      <c r="E48" s="61"/>
      <c r="F48" s="61"/>
      <c r="G48" s="62">
        <v>10</v>
      </c>
      <c r="H48" s="63">
        <f>D14</f>
        <v>82.493605769230754</v>
      </c>
      <c r="I48" s="130">
        <f>(H48*30%)+H48</f>
        <v>107.24168749999998</v>
      </c>
    </row>
    <row r="50" spans="3:14">
      <c r="C50" s="131" t="s">
        <v>20</v>
      </c>
      <c r="D50" s="131" t="s">
        <v>12</v>
      </c>
      <c r="E50" s="131"/>
      <c r="F50" s="131"/>
      <c r="G50" s="131" t="s">
        <v>21</v>
      </c>
      <c r="H50" s="131" t="s">
        <v>22</v>
      </c>
      <c r="I50" s="131" t="s">
        <v>23</v>
      </c>
      <c r="J50" s="131" t="s">
        <v>24</v>
      </c>
      <c r="K50" s="131" t="s">
        <v>25</v>
      </c>
      <c r="L50" s="131"/>
      <c r="M50" s="131"/>
      <c r="N50" s="131" t="s">
        <v>26</v>
      </c>
    </row>
    <row r="51" spans="3:14">
      <c r="C51" s="70" t="s">
        <v>353</v>
      </c>
      <c r="D51" s="71">
        <f>DATE($B$11,MATCH($G$45,Data!$B$2:$B$13,0),ALEJANDRINO!$H$45)</f>
        <v>46185</v>
      </c>
      <c r="E51" s="71"/>
      <c r="F51" s="71"/>
      <c r="G51" s="72">
        <v>0.33333333333333331</v>
      </c>
      <c r="H51" s="72">
        <v>0.75</v>
      </c>
      <c r="I51" s="73">
        <v>1</v>
      </c>
      <c r="J51" s="73">
        <f>IFERROR(IF(AND(G51&lt;&gt;"",H51&lt;&gt;""),IF(G51&gt;$B$14+TIME($C$14,($C$14-INT($C$14))*60,0),0,IF(H51&gt;$B$14+TIME($C$14,($C$14-INT($C$14))*60,0),MIN(TIME($C$14,($C$14-INT($C$14))*60,0),($B$14+TIME($C$14,($C$14-INT($C$14))*60,0)-G51)),MIN(IF((H51-$B$14)&lt;0,0,(H51-$B$14)),(H51-G51))))*24,"")-I51,"")</f>
        <v>9</v>
      </c>
      <c r="K51" s="73">
        <f>IF(AND(G51&lt;&gt;"",H51&lt;&gt;""),((IF(G51&lt;$D$48,MIN($D$48-G51,H51-G51),0)+IF(H51&gt;$D$48+TIME($G$48,($G$48-INT($G$48))*60,0),MIN((H51-$D$48-TIME($G$48,($G$48-INT($G$48))*60,0)),(H51-G51)),0))*24),"")</f>
        <v>0</v>
      </c>
      <c r="L51" s="73"/>
      <c r="M51" s="73"/>
      <c r="N51" s="99">
        <f>(H48*J51)</f>
        <v>742.44245192307676</v>
      </c>
    </row>
    <row r="52" spans="3:14">
      <c r="C52" s="70" t="s">
        <v>445</v>
      </c>
      <c r="D52" s="71">
        <v>23</v>
      </c>
      <c r="E52" s="71"/>
      <c r="F52" s="71"/>
      <c r="G52" s="72">
        <v>0</v>
      </c>
      <c r="H52" s="72">
        <v>0</v>
      </c>
      <c r="I52" s="73">
        <v>0</v>
      </c>
      <c r="J52" s="73">
        <f>IFERROR(IF(AND(G52&lt;&gt;"",H52&lt;&gt;""),IF(G52&gt;$B$14+TIME($C$14,($C$14-INT($C$14))*60,0),0,IF(H52&gt;$B$14+TIME($C$14,($C$14-INT($C$14))*60,0),MIN(TIME($C$14,($C$14-INT($C$14))*60,0),($B$14+TIME($C$14,($C$14-INT($C$14))*60,0)-G52)),MIN(IF((H52-$B$14)&lt;0,0,(H52-$B$14)),(H52-G52))))*24,"")-I52,"")</f>
        <v>0</v>
      </c>
      <c r="K52" s="73">
        <f>IF(AND(G52&lt;&gt;"",H52&lt;&gt;""),((IF(G52&lt;$D$48,MIN($D$48-G52,H52-G52),0)+IF(H52&gt;$D$48+TIME($G$48,($G$48-INT($G$48))*60,0),MIN((H52-$D$48-TIME($G$48,($G$48-INT($G$48))*60,0)),(H52-G52)),0))*24),"")</f>
        <v>0</v>
      </c>
      <c r="L52" s="73"/>
      <c r="M52" s="73"/>
      <c r="N52" s="99">
        <f>(H48*J52)</f>
        <v>0</v>
      </c>
    </row>
    <row r="53" spans="3:14"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318">
        <f>SUM(N51:N52)</f>
        <v>742.44245192307676</v>
      </c>
    </row>
    <row r="54" spans="3:14">
      <c r="N54" s="324"/>
    </row>
    <row r="55" spans="3:14">
      <c r="N55" s="138"/>
    </row>
    <row r="56" spans="3:14">
      <c r="N56" s="138"/>
    </row>
    <row r="57" spans="3:14">
      <c r="C57" s="132" t="s">
        <v>190</v>
      </c>
      <c r="D57" s="132"/>
      <c r="L57" s="333">
        <v>45763</v>
      </c>
      <c r="M57" s="334" t="s">
        <v>354</v>
      </c>
      <c r="N57" s="138"/>
    </row>
    <row r="58" spans="3:14">
      <c r="L58" s="125"/>
      <c r="M58" s="326" t="s">
        <v>355</v>
      </c>
      <c r="N58" s="138"/>
    </row>
    <row r="59" spans="3:14">
      <c r="C59" s="591">
        <v>44981</v>
      </c>
      <c r="D59" s="591"/>
      <c r="E59" s="591"/>
      <c r="F59" s="88"/>
      <c r="G59" s="148" t="s">
        <v>280</v>
      </c>
      <c r="H59" s="254"/>
      <c r="L59" s="125"/>
      <c r="M59" s="335">
        <f>I48*3</f>
        <v>321.72506249999992</v>
      </c>
      <c r="N59" s="138"/>
    </row>
    <row r="60" spans="3:14">
      <c r="D60" s="88"/>
      <c r="E60" s="88"/>
      <c r="F60" s="256">
        <f>F59*G60</f>
        <v>0</v>
      </c>
      <c r="G60" s="253">
        <v>0.3</v>
      </c>
      <c r="H60" s="254"/>
      <c r="N60" s="138"/>
    </row>
    <row r="61" spans="3:14">
      <c r="D61" s="91"/>
      <c r="E61" s="91"/>
      <c r="F61" s="91"/>
      <c r="N61" s="138"/>
    </row>
    <row r="62" spans="3:14">
      <c r="D62" s="91"/>
      <c r="E62" s="91"/>
      <c r="F62" s="91"/>
      <c r="G62" s="257">
        <f>F60</f>
        <v>0</v>
      </c>
      <c r="N62" s="138"/>
    </row>
    <row r="63" spans="3:14">
      <c r="D63" s="132"/>
      <c r="E63" s="132"/>
      <c r="F63" s="132"/>
      <c r="G63" s="133"/>
      <c r="H63" s="133"/>
      <c r="I63" s="133"/>
    </row>
    <row r="64" spans="3:14">
      <c r="D64" s="132"/>
      <c r="E64" s="132"/>
      <c r="F64" s="132"/>
      <c r="G64" s="133"/>
      <c r="H64" s="133"/>
      <c r="I64" s="133"/>
    </row>
    <row r="65" spans="3:9">
      <c r="F65" s="132"/>
      <c r="G65" s="133"/>
      <c r="H65" s="133"/>
      <c r="I65" s="133"/>
    </row>
    <row r="66" spans="3:9">
      <c r="G66" s="606"/>
      <c r="H66" s="606"/>
    </row>
    <row r="69" spans="3:9">
      <c r="C69" s="91" t="s">
        <v>141</v>
      </c>
    </row>
    <row r="70" spans="3:9">
      <c r="C70" t="s">
        <v>66</v>
      </c>
    </row>
    <row r="71" spans="3:9">
      <c r="C71" s="91"/>
    </row>
  </sheetData>
  <mergeCells count="13">
    <mergeCell ref="G66:H66"/>
    <mergeCell ref="A6:N6"/>
    <mergeCell ref="C7:D7"/>
    <mergeCell ref="M7:O7"/>
    <mergeCell ref="C8:D8"/>
    <mergeCell ref="M8:O8"/>
    <mergeCell ref="G32:H32"/>
    <mergeCell ref="G34:H34"/>
    <mergeCell ref="G36:H36"/>
    <mergeCell ref="G38:H38"/>
    <mergeCell ref="G39:H39"/>
    <mergeCell ref="B41:N41"/>
    <mergeCell ref="C59:E59"/>
  </mergeCells>
  <conditionalFormatting sqref="C17:D17">
    <cfRule type="expression" dxfId="196" priority="135">
      <formula>ISNUMBER(SEARCH(TEXT($B17,"ddd"),$F$10))</formula>
    </cfRule>
  </conditionalFormatting>
  <conditionalFormatting sqref="C18:D31">
    <cfRule type="expression" dxfId="195" priority="137">
      <formula>ISNUMBER(SEARCH(TEXT($C18,"ddd"),$G$11))</formula>
    </cfRule>
  </conditionalFormatting>
  <conditionalFormatting sqref="C51:N52">
    <cfRule type="expression" dxfId="194" priority="1">
      <formula>ISNUMBER(SEARCH(TEXT($C51,"ddd"),$G$11))</formula>
    </cfRule>
  </conditionalFormatting>
  <conditionalFormatting sqref="E17:L31">
    <cfRule type="expression" dxfId="193" priority="2">
      <formula>ISNUMBER(SEARCH(TEXT($C17,"ddd"),$G$11))</formula>
    </cfRule>
  </conditionalFormatting>
  <conditionalFormatting sqref="N17:N31">
    <cfRule type="expression" dxfId="192" priority="136">
      <formula>ISNUMBER(SEARCH(TEXT($B17,"ddd"),$F$10))</formula>
    </cfRule>
  </conditionalFormatting>
  <dataValidations count="5">
    <dataValidation type="list" allowBlank="1" showInputMessage="1" showErrorMessage="1" sqref="E11:F11" xr:uid="{00000000-0002-0000-1B00-000000000000}">
      <formula1>ALEJANDRINO!DateCalc</formula1>
    </dataValidation>
    <dataValidation type="custom" allowBlank="1" showInputMessage="1" showErrorMessage="1" sqref="G51:G52 E17:G31" xr:uid="{00000000-0002-0000-1B00-000001000000}">
      <formula1>AND($G17&lt;=1,ISNUMBER($G17))</formula1>
    </dataValidation>
    <dataValidation type="custom" allowBlank="1" showInputMessage="1" showErrorMessage="1" sqref="H51:H52 H17:H31" xr:uid="{00000000-0002-0000-1B00-000002000000}">
      <formula1>AND($H17&lt;=1,ISNUMBER($H17),($H17&gt;=$G17))</formula1>
    </dataValidation>
    <dataValidation type="list" allowBlank="1" showInputMessage="1" showErrorMessage="1" sqref="D11 H45" xr:uid="{00000000-0002-0000-1B00-000003000000}">
      <formula1>DateCalc</formula1>
    </dataValidation>
    <dataValidation type="list" allowBlank="1" showInputMessage="1" showErrorMessage="1" sqref="G11" xr:uid="{00000000-0002-0000-1B00-000004000000}"/>
  </dataValidations>
  <pageMargins left="1.07083333333333" right="0.25" top="0.359722222222222" bottom="0.39791666666666697" header="0.29861111111111099" footer="0.29861111111111099"/>
  <pageSetup paperSize="9" scale="91" orientation="landscape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3713" r:id="rId4" name="Check Box 1">
              <controlPr defaultSize="0" print="0" autoPict="0">
                <anchor moveWithCells="1">
                  <from>
                    <xdr:col>7</xdr:col>
                    <xdr:colOff>180975</xdr:colOff>
                    <xdr:row>9</xdr:row>
                    <xdr:rowOff>28575</xdr:rowOff>
                  </from>
                  <to>
                    <xdr:col>8</xdr:col>
                    <xdr:colOff>571500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B00-000005000000}">
          <x14:formula1>
            <xm:f>Data!$B$2:$B$13</xm:f>
          </x14:formula1>
          <xm:sqref>C11 G45</xm:sqref>
        </x14:dataValidation>
        <x14:dataValidation type="list" allowBlank="1" showInputMessage="1" showErrorMessage="1" xr:uid="{00000000-0002-0000-1B00-000006000000}">
          <x14:formula1>
            <xm:f>Data!$A$2:$A$15</xm:f>
          </x14:formula1>
          <xm:sqref>B11 D45:F45</xm:sqref>
        </x14:dataValidation>
        <x14:dataValidation type="list" allowBlank="1" showInputMessage="1" showErrorMessage="1" xr:uid="{00000000-0002-0000-1B00-000007000000}">
          <x14:formula1>
            <xm:f>Data!$D$2:$D$16</xm:f>
          </x14:formula1>
          <xm:sqref>I45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5:AH73"/>
  <sheetViews>
    <sheetView showGridLines="0" showWhiteSpace="0" view="pageLayout" topLeftCell="A28" zoomScale="150" zoomScaleNormal="100" zoomScalePageLayoutView="150" workbookViewId="0">
      <selection activeCell="B41" sqref="B41:N41"/>
    </sheetView>
  </sheetViews>
  <sheetFormatPr defaultColWidth="9" defaultRowHeight="12.75"/>
  <cols>
    <col min="1" max="1" width="1.625" customWidth="1"/>
    <col min="2" max="2" width="5.375" customWidth="1"/>
    <col min="3" max="3" width="7.125" customWidth="1"/>
    <col min="4" max="6" width="7.625" customWidth="1"/>
    <col min="7" max="7" width="10.125" customWidth="1"/>
    <col min="8" max="8" width="9.625" customWidth="1"/>
    <col min="9" max="9" width="8.125" customWidth="1"/>
    <col min="10" max="10" width="10.125" customWidth="1"/>
    <col min="11" max="11" width="7.875" customWidth="1"/>
    <col min="12" max="12" width="9.625" customWidth="1"/>
    <col min="13" max="13" width="11.375" customWidth="1"/>
    <col min="14" max="14" width="10.875" customWidth="1"/>
    <col min="15" max="15" width="16.875" customWidth="1"/>
    <col min="18" max="18" width="11.125" customWidth="1"/>
  </cols>
  <sheetData>
    <row r="5" spans="1:21" ht="25.5" customHeight="1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21" s="47" customFormat="1" ht="25.5" customHeight="1">
      <c r="A6" s="603"/>
      <c r="B6" s="603"/>
      <c r="C6" s="603"/>
      <c r="D6" s="603"/>
      <c r="E6" s="603"/>
      <c r="F6" s="603"/>
      <c r="G6" s="603"/>
      <c r="H6" s="603"/>
      <c r="I6" s="603"/>
      <c r="J6" s="603"/>
      <c r="K6" s="603"/>
      <c r="L6" s="603"/>
      <c r="M6" s="603"/>
      <c r="N6" s="603"/>
    </row>
    <row r="7" spans="1:21" ht="18.75" customHeight="1">
      <c r="C7" s="527" t="s">
        <v>3</v>
      </c>
      <c r="D7" s="527"/>
      <c r="E7" s="49"/>
      <c r="F7" s="49"/>
      <c r="G7" s="50" t="s">
        <v>339</v>
      </c>
      <c r="H7" s="51"/>
      <c r="K7" s="49" t="s">
        <v>174</v>
      </c>
      <c r="M7" s="599" t="str">
        <f>PAALAN!L7</f>
        <v>September  11-25, 2026</v>
      </c>
      <c r="N7" s="599"/>
      <c r="O7" s="599"/>
    </row>
    <row r="8" spans="1:21" ht="18.75" customHeight="1">
      <c r="C8" s="527" t="s">
        <v>175</v>
      </c>
      <c r="D8" s="527"/>
      <c r="E8" s="49"/>
      <c r="F8" s="49"/>
      <c r="G8" s="50" t="s">
        <v>101</v>
      </c>
      <c r="H8" s="51"/>
      <c r="K8" s="49" t="s">
        <v>176</v>
      </c>
      <c r="L8" s="92"/>
      <c r="M8" s="600" t="str">
        <f>PAALAN!L8</f>
        <v>9/31/2026</v>
      </c>
      <c r="N8" s="600"/>
      <c r="O8" s="600"/>
    </row>
    <row r="9" spans="1:21">
      <c r="C9" s="52"/>
      <c r="D9" s="53"/>
      <c r="E9" s="53"/>
      <c r="F9" s="53"/>
      <c r="G9" s="53"/>
    </row>
    <row r="10" spans="1:21">
      <c r="B10" s="54" t="s">
        <v>10</v>
      </c>
      <c r="C10" s="54" t="s">
        <v>11</v>
      </c>
      <c r="D10" s="54" t="s">
        <v>12</v>
      </c>
      <c r="E10" s="54"/>
      <c r="F10" s="54"/>
      <c r="G10" s="55" t="s">
        <v>13</v>
      </c>
    </row>
    <row r="11" spans="1:21">
      <c r="B11" s="56">
        <v>2026</v>
      </c>
      <c r="C11" s="56" t="s">
        <v>177</v>
      </c>
      <c r="D11" s="56">
        <v>11</v>
      </c>
      <c r="E11" s="56"/>
      <c r="F11" s="56"/>
      <c r="G11" s="56" t="s">
        <v>178</v>
      </c>
    </row>
    <row r="12" spans="1:21">
      <c r="B12" s="57"/>
      <c r="C12" s="57"/>
      <c r="H12" s="57"/>
      <c r="K12" s="57"/>
      <c r="L12" s="57"/>
      <c r="M12" s="57"/>
    </row>
    <row r="13" spans="1:21" ht="32.1" customHeight="1">
      <c r="B13" s="159" t="s">
        <v>16</v>
      </c>
      <c r="C13" s="159" t="s">
        <v>17</v>
      </c>
      <c r="D13" s="159" t="s">
        <v>18</v>
      </c>
      <c r="E13" s="160"/>
      <c r="F13" s="160"/>
      <c r="G13" s="160" t="s">
        <v>19</v>
      </c>
      <c r="H13" s="161" t="s">
        <v>179</v>
      </c>
      <c r="L13" s="93"/>
      <c r="M13" s="93"/>
      <c r="N13" s="94"/>
      <c r="O13" s="159" t="s">
        <v>16</v>
      </c>
      <c r="P13" s="159" t="s">
        <v>17</v>
      </c>
      <c r="Q13" s="159" t="s">
        <v>18</v>
      </c>
      <c r="R13" s="160"/>
      <c r="S13" s="160"/>
      <c r="T13" s="160" t="s">
        <v>19</v>
      </c>
      <c r="U13" s="161" t="s">
        <v>179</v>
      </c>
    </row>
    <row r="14" spans="1:21">
      <c r="B14" s="61">
        <v>0.33333333333333331</v>
      </c>
      <c r="C14" s="62">
        <v>10</v>
      </c>
      <c r="D14" s="63">
        <f>(13000/26)/8</f>
        <v>62.5</v>
      </c>
      <c r="E14" s="142"/>
      <c r="F14" s="142"/>
      <c r="G14" s="64">
        <f>(D14*25%)+D14</f>
        <v>78.125</v>
      </c>
      <c r="H14" s="65">
        <v>96</v>
      </c>
      <c r="I14" s="95"/>
      <c r="L14" s="57"/>
      <c r="M14" s="57"/>
      <c r="N14" s="95"/>
      <c r="O14" s="61">
        <v>0.375</v>
      </c>
      <c r="P14" s="62">
        <v>3</v>
      </c>
      <c r="Q14" s="63">
        <f>(14427.92/26)/8</f>
        <v>69.364999999999995</v>
      </c>
      <c r="R14" s="142"/>
      <c r="S14" s="142"/>
      <c r="T14" s="64">
        <f>(Q14*25%)+Q14</f>
        <v>86.706249999999997</v>
      </c>
      <c r="U14" s="65">
        <v>99</v>
      </c>
    </row>
    <row r="15" spans="1:21">
      <c r="H15" s="65"/>
      <c r="N15" s="96"/>
    </row>
    <row r="16" spans="1:21" ht="23.25">
      <c r="B16" s="66"/>
      <c r="C16" s="67" t="s">
        <v>20</v>
      </c>
      <c r="D16" s="67" t="s">
        <v>12</v>
      </c>
      <c r="E16" s="67"/>
      <c r="F16" s="67"/>
      <c r="G16" s="67" t="s">
        <v>21</v>
      </c>
      <c r="H16" s="67" t="s">
        <v>22</v>
      </c>
      <c r="I16" s="68" t="s">
        <v>23</v>
      </c>
      <c r="J16" s="68" t="s">
        <v>24</v>
      </c>
      <c r="K16" s="68" t="s">
        <v>25</v>
      </c>
      <c r="L16" s="67" t="s">
        <v>180</v>
      </c>
      <c r="M16" s="134" t="s">
        <v>181</v>
      </c>
      <c r="N16" s="67" t="s">
        <v>26</v>
      </c>
    </row>
    <row r="17" spans="2:34">
      <c r="B17" s="69">
        <v>1</v>
      </c>
      <c r="C17" s="429">
        <f>DATE($B$11,MATCH($C$11,Data!$B$2:$B$13,0),MACATANGAY!$D$11)</f>
        <v>46276</v>
      </c>
      <c r="D17" s="430">
        <f>DATE($B$11,MATCH($C$11,Data!$B$2:$B$13,0),MACATANGAY!$D$11)</f>
        <v>46276</v>
      </c>
      <c r="E17" s="424">
        <v>0.33333333333333331</v>
      </c>
      <c r="F17" s="424">
        <v>0</v>
      </c>
      <c r="G17" s="424">
        <f t="shared" ref="G17:G28" si="0">E17-F17</f>
        <v>0.33333333333333331</v>
      </c>
      <c r="H17" s="424">
        <v>0.75</v>
      </c>
      <c r="I17" s="425">
        <v>1</v>
      </c>
      <c r="J17" s="425">
        <f t="shared" ref="J17:J28" si="1">IFERROR(IF(AND(G17&lt;&gt;"",H17&lt;&gt;""),IF(G17&gt;$B$14+TIME($C$14,($C$14-INT($C$14))*60,0),0,IF(H17&gt;$B$14+TIME($C$14,($C$14-INT($C$14))*60,0),MIN(TIME($C$14,($C$14-INT($C$14))*60,0),($B$14+TIME($C$14,($C$14-INT($C$14))*60,0)-G17)),MIN(IF((H17-$B$14)&lt;0,0,(H17-$B$14)),(H17-G17))))*24,"")-I17,"")</f>
        <v>9</v>
      </c>
      <c r="K17" s="425">
        <f t="shared" ref="K17:K29" si="2">IF(AND(G17&lt;&gt;"",H17&lt;&gt;""),((IF(G17&lt;$B$14,MIN($B$14-G17,H17-G17),0)+IF(H17&gt;$B$14+TIME($C$14,($C$14-INT($C$14))*60,0),MIN((H17-$B$14-TIME($C$14,($C$14-INT($C$14))*60,0)),(H17-G17)),0))*24),"")</f>
        <v>0</v>
      </c>
      <c r="L17" s="431">
        <v>0</v>
      </c>
      <c r="M17" s="423">
        <f>(D14/60)*0</f>
        <v>0</v>
      </c>
      <c r="N17" s="427">
        <f>IFERROR(J17*IF(AND(ISNUMBER(SEARCH(TEXT(C17,"ddd"),$G$11)),Data!$F$2),$G$14,$D$14)+K17*$G$14,"")</f>
        <v>562.5</v>
      </c>
      <c r="O17" s="141">
        <f t="shared" ref="O17:O30" si="3">M17+N17</f>
        <v>562.5</v>
      </c>
      <c r="P17" s="100"/>
      <c r="Q17" s="89"/>
    </row>
    <row r="18" spans="2:34">
      <c r="B18" s="69">
        <v>2</v>
      </c>
      <c r="C18" s="429">
        <f t="shared" ref="C18:D31" si="4">C17+1</f>
        <v>46277</v>
      </c>
      <c r="D18" s="430">
        <f t="shared" si="4"/>
        <v>46277</v>
      </c>
      <c r="E18" s="424">
        <v>0.33333333333333331</v>
      </c>
      <c r="F18" s="424">
        <v>0</v>
      </c>
      <c r="G18" s="424">
        <f t="shared" si="0"/>
        <v>0.33333333333333331</v>
      </c>
      <c r="H18" s="424">
        <v>0.75</v>
      </c>
      <c r="I18" s="425">
        <v>1</v>
      </c>
      <c r="J18" s="425">
        <f t="shared" si="1"/>
        <v>9</v>
      </c>
      <c r="K18" s="425">
        <f t="shared" si="2"/>
        <v>0</v>
      </c>
      <c r="L18" s="431">
        <v>0</v>
      </c>
      <c r="M18" s="423">
        <f>(D14/60)*0</f>
        <v>0</v>
      </c>
      <c r="N18" s="427">
        <f>IFERROR(J18*IF(AND(ISNUMBER(SEARCH(TEXT(C18,"ddd"),$G$11)),Data!$F$2),$G$14,$D$14)+K18*$G$14,"")</f>
        <v>562.5</v>
      </c>
      <c r="O18" s="141">
        <f t="shared" si="3"/>
        <v>562.5</v>
      </c>
      <c r="P18" s="89"/>
      <c r="Q18" s="89"/>
    </row>
    <row r="19" spans="2:34">
      <c r="B19" s="69"/>
      <c r="C19" s="429">
        <f t="shared" si="4"/>
        <v>46278</v>
      </c>
      <c r="D19" s="430">
        <f t="shared" si="4"/>
        <v>46278</v>
      </c>
      <c r="E19" s="424">
        <v>0.33333333333333331</v>
      </c>
      <c r="F19" s="424">
        <v>0</v>
      </c>
      <c r="G19" s="424">
        <f t="shared" si="0"/>
        <v>0.33333333333333331</v>
      </c>
      <c r="H19" s="424">
        <v>0.75</v>
      </c>
      <c r="I19" s="425">
        <v>1</v>
      </c>
      <c r="J19" s="425">
        <f t="shared" si="1"/>
        <v>9</v>
      </c>
      <c r="K19" s="425">
        <f t="shared" si="2"/>
        <v>0</v>
      </c>
      <c r="L19" s="431">
        <f>G19-B14</f>
        <v>0</v>
      </c>
      <c r="M19" s="98">
        <f>(D14/60)*0</f>
        <v>0</v>
      </c>
      <c r="N19" s="251">
        <f>IFERROR(J19*IF(AND(ISNUMBER(SEARCH(TEXT(C19,"ddd"),$G$11)),Data!$F$2),$G$14,$D$14)+K19*$G$14,"")</f>
        <v>703.125</v>
      </c>
      <c r="O19" s="141">
        <f t="shared" si="3"/>
        <v>703.125</v>
      </c>
      <c r="P19" s="100"/>
      <c r="Q19" s="104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</row>
    <row r="20" spans="2:34">
      <c r="B20" s="69">
        <v>3</v>
      </c>
      <c r="C20" s="429">
        <f t="shared" si="4"/>
        <v>46279</v>
      </c>
      <c r="D20" s="430">
        <f t="shared" si="4"/>
        <v>46279</v>
      </c>
      <c r="E20" s="424">
        <v>0.33333333333333331</v>
      </c>
      <c r="F20" s="424">
        <v>0</v>
      </c>
      <c r="G20" s="424">
        <f t="shared" si="0"/>
        <v>0.33333333333333331</v>
      </c>
      <c r="H20" s="424">
        <v>0.75</v>
      </c>
      <c r="I20" s="425">
        <v>1</v>
      </c>
      <c r="J20" s="425">
        <f t="shared" si="1"/>
        <v>9</v>
      </c>
      <c r="K20" s="425">
        <f t="shared" si="2"/>
        <v>0</v>
      </c>
      <c r="L20" s="431">
        <v>0</v>
      </c>
      <c r="M20" s="423">
        <f>(D14/60)*0</f>
        <v>0</v>
      </c>
      <c r="N20" s="427">
        <f>IFERROR(J20*IF(AND(ISNUMBER(SEARCH(TEXT(C20,"ddd"),$G$11)),Data!$F$2),$G$14,$D$14)+K20*$G$14,"")</f>
        <v>562.5</v>
      </c>
      <c r="O20" s="141">
        <f t="shared" si="3"/>
        <v>562.5</v>
      </c>
      <c r="P20" s="103"/>
      <c r="Q20" s="103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28"/>
    </row>
    <row r="21" spans="2:34">
      <c r="B21" s="69">
        <v>4</v>
      </c>
      <c r="C21" s="429">
        <f t="shared" si="4"/>
        <v>46280</v>
      </c>
      <c r="D21" s="430">
        <f t="shared" si="4"/>
        <v>46280</v>
      </c>
      <c r="E21" s="424">
        <v>0.375</v>
      </c>
      <c r="F21" s="424">
        <v>0</v>
      </c>
      <c r="G21" s="424">
        <f t="shared" si="0"/>
        <v>0.375</v>
      </c>
      <c r="H21" s="424">
        <v>0.5</v>
      </c>
      <c r="I21" s="425">
        <v>0</v>
      </c>
      <c r="J21" s="425">
        <f>IFERROR(IF(AND(G21&lt;&gt;"",H21&lt;&gt;""),IF(G21&gt;$B$14+TIME($C$14,($C$14-INT($C$14))*60,0),0,IF(H21&gt;$B$14+TIME($C$14,($C$14-INT($C$14))*60,0),MIN(TIME($C$14,($C$14-INT($C$14))*60,0),($B$14+TIME($C$14,($C$14-INT($C$14))*60,0)-G21)),MIN(IF((H21-$B$14)&lt;0,0,(H21-$B$14)),(H21-G21))))*24,"")-I21,"")</f>
        <v>3</v>
      </c>
      <c r="K21" s="425">
        <f t="shared" si="2"/>
        <v>0</v>
      </c>
      <c r="L21" s="431">
        <v>0</v>
      </c>
      <c r="M21" s="423">
        <f>(D14/60)*0</f>
        <v>0</v>
      </c>
      <c r="N21" s="427">
        <f>IFERROR(J21*IF(AND(ISNUMBER(SEARCH(TEXT(C21,"ddd"),$G$11)),Data!$F$2),$G$14,$D$14)+K21*$G$14,"")</f>
        <v>187.5</v>
      </c>
      <c r="O21" s="141">
        <f t="shared" si="3"/>
        <v>187.5</v>
      </c>
      <c r="P21" s="162"/>
      <c r="Q21" s="108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4"/>
    </row>
    <row r="22" spans="2:34">
      <c r="B22" s="69">
        <v>5</v>
      </c>
      <c r="C22" s="429">
        <f t="shared" si="4"/>
        <v>46281</v>
      </c>
      <c r="D22" s="430">
        <f t="shared" si="4"/>
        <v>46281</v>
      </c>
      <c r="E22" s="424">
        <v>0</v>
      </c>
      <c r="F22" s="424">
        <v>0</v>
      </c>
      <c r="G22" s="424">
        <f t="shared" si="0"/>
        <v>0</v>
      </c>
      <c r="H22" s="424">
        <v>0</v>
      </c>
      <c r="I22" s="425">
        <v>0</v>
      </c>
      <c r="J22" s="425">
        <f t="shared" si="1"/>
        <v>0</v>
      </c>
      <c r="K22" s="425">
        <f t="shared" si="2"/>
        <v>0</v>
      </c>
      <c r="L22" s="431">
        <v>0</v>
      </c>
      <c r="M22" s="423">
        <f>(D14/60)*0</f>
        <v>0</v>
      </c>
      <c r="N22" s="427">
        <f>IFERROR(J22*IF(AND(ISNUMBER(SEARCH(TEXT(C22,"ddd"),$G$11)),Data!$F$2),$G$14,$D$14)+K22*$G$14,"")</f>
        <v>0</v>
      </c>
      <c r="O22" s="141">
        <f t="shared" si="3"/>
        <v>0</v>
      </c>
      <c r="P22" s="163">
        <f>O21-O22</f>
        <v>187.5</v>
      </c>
      <c r="Q22" s="135"/>
      <c r="R22" s="96">
        <v>0.40486111111111101</v>
      </c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4"/>
    </row>
    <row r="23" spans="2:34">
      <c r="B23" s="69">
        <v>6</v>
      </c>
      <c r="C23" s="429">
        <f t="shared" si="4"/>
        <v>46282</v>
      </c>
      <c r="D23" s="430">
        <f t="shared" si="4"/>
        <v>46282</v>
      </c>
      <c r="E23" s="424">
        <v>0.33333333333333331</v>
      </c>
      <c r="F23" s="424">
        <v>0</v>
      </c>
      <c r="G23" s="424">
        <f t="shared" si="0"/>
        <v>0.33333333333333331</v>
      </c>
      <c r="H23" s="424">
        <v>0.75</v>
      </c>
      <c r="I23" s="425">
        <v>1</v>
      </c>
      <c r="J23" s="425">
        <f t="shared" si="1"/>
        <v>9</v>
      </c>
      <c r="K23" s="425">
        <f t="shared" si="2"/>
        <v>0</v>
      </c>
      <c r="L23" s="431">
        <f>G23-B14</f>
        <v>0</v>
      </c>
      <c r="M23" s="423">
        <f>(D14/60)*0</f>
        <v>0</v>
      </c>
      <c r="N23" s="427">
        <f>IFERROR(J23*IF(AND(ISNUMBER(SEARCH(TEXT(C23,"ddd"),$G$11)),Data!$F$2),$G$14,$D$14)+K23*$G$14,"")</f>
        <v>562.5</v>
      </c>
      <c r="O23" s="141">
        <f t="shared" si="3"/>
        <v>562.5</v>
      </c>
      <c r="P23" s="150"/>
      <c r="Q23" s="89"/>
      <c r="R23" s="96">
        <v>1.0416666666666701E-2</v>
      </c>
    </row>
    <row r="24" spans="2:34">
      <c r="B24" s="69">
        <v>7</v>
      </c>
      <c r="C24" s="429">
        <f t="shared" si="4"/>
        <v>46283</v>
      </c>
      <c r="D24" s="430">
        <f t="shared" si="4"/>
        <v>46283</v>
      </c>
      <c r="E24" s="424">
        <v>0.33333333333333331</v>
      </c>
      <c r="F24" s="424">
        <v>0</v>
      </c>
      <c r="G24" s="424">
        <f t="shared" si="0"/>
        <v>0.33333333333333331</v>
      </c>
      <c r="H24" s="424">
        <v>0.75</v>
      </c>
      <c r="I24" s="425">
        <v>1</v>
      </c>
      <c r="J24" s="425">
        <f t="shared" si="1"/>
        <v>9</v>
      </c>
      <c r="K24" s="425">
        <f t="shared" si="2"/>
        <v>0</v>
      </c>
      <c r="L24" s="431">
        <v>0</v>
      </c>
      <c r="M24" s="423">
        <f>(D14/60)*0</f>
        <v>0</v>
      </c>
      <c r="N24" s="427">
        <f>IFERROR(J24*IF(AND(ISNUMBER(SEARCH(TEXT(C24,"ddd"),$G$11)),Data!$F$2),$G$14,$D$14)+K24*$G$14,"")</f>
        <v>562.5</v>
      </c>
      <c r="O24" s="141">
        <f t="shared" si="3"/>
        <v>562.5</v>
      </c>
      <c r="P24" s="155"/>
      <c r="Q24" s="89"/>
      <c r="R24" s="129">
        <f>R22-R23</f>
        <v>0.39444444444444432</v>
      </c>
    </row>
    <row r="25" spans="2:34">
      <c r="B25" s="69">
        <v>8</v>
      </c>
      <c r="C25" s="429">
        <f t="shared" si="4"/>
        <v>46284</v>
      </c>
      <c r="D25" s="430">
        <f t="shared" si="4"/>
        <v>46284</v>
      </c>
      <c r="E25" s="424">
        <v>0.33333333333333331</v>
      </c>
      <c r="F25" s="424">
        <v>0</v>
      </c>
      <c r="G25" s="424">
        <f t="shared" si="0"/>
        <v>0.33333333333333331</v>
      </c>
      <c r="H25" s="424">
        <v>0.75</v>
      </c>
      <c r="I25" s="425">
        <v>1</v>
      </c>
      <c r="J25" s="425">
        <f t="shared" si="1"/>
        <v>9</v>
      </c>
      <c r="K25" s="425">
        <f t="shared" si="2"/>
        <v>0</v>
      </c>
      <c r="L25" s="431">
        <v>0</v>
      </c>
      <c r="M25" s="423">
        <f>(D14/60)*0</f>
        <v>0</v>
      </c>
      <c r="N25" s="427">
        <f>IFERROR(J25*IF(AND(ISNUMBER(SEARCH(TEXT(C25,"ddd"),$G$11)),Data!$F$2),$G$14,$D$14)+K25*$G$14,"")</f>
        <v>562.5</v>
      </c>
      <c r="O25" s="141">
        <f t="shared" si="3"/>
        <v>562.5</v>
      </c>
      <c r="P25" s="89"/>
      <c r="Q25" s="89"/>
    </row>
    <row r="26" spans="2:34">
      <c r="B26" s="69"/>
      <c r="C26" s="429">
        <f t="shared" si="4"/>
        <v>46285</v>
      </c>
      <c r="D26" s="430">
        <f t="shared" si="4"/>
        <v>46285</v>
      </c>
      <c r="E26" s="424">
        <v>0.33333333333333331</v>
      </c>
      <c r="F26" s="424">
        <v>0</v>
      </c>
      <c r="G26" s="424">
        <f t="shared" si="0"/>
        <v>0.33333333333333331</v>
      </c>
      <c r="H26" s="424">
        <v>0.75</v>
      </c>
      <c r="I26" s="425">
        <v>1</v>
      </c>
      <c r="J26" s="425">
        <f t="shared" si="1"/>
        <v>9</v>
      </c>
      <c r="K26" s="425">
        <f t="shared" si="2"/>
        <v>0</v>
      </c>
      <c r="L26" s="431">
        <v>0</v>
      </c>
      <c r="M26" s="98">
        <f>(D14/60)*0</f>
        <v>0</v>
      </c>
      <c r="N26" s="251">
        <f>IFERROR(J26*IF(AND(ISNUMBER(SEARCH(TEXT(C26,"ddd"),$G$11)),Data!$F$2),$G$14,$D$14)+K26*$G$14,"")</f>
        <v>703.125</v>
      </c>
      <c r="O26" s="141">
        <f t="shared" si="3"/>
        <v>703.125</v>
      </c>
      <c r="P26" s="89"/>
      <c r="Q26" s="89"/>
    </row>
    <row r="27" spans="2:34">
      <c r="B27" s="69">
        <v>9</v>
      </c>
      <c r="C27" s="429">
        <f t="shared" si="4"/>
        <v>46286</v>
      </c>
      <c r="D27" s="430">
        <f t="shared" si="4"/>
        <v>46286</v>
      </c>
      <c r="E27" s="424">
        <v>0</v>
      </c>
      <c r="F27" s="424">
        <v>0</v>
      </c>
      <c r="G27" s="424">
        <f t="shared" si="0"/>
        <v>0</v>
      </c>
      <c r="H27" s="424">
        <v>0</v>
      </c>
      <c r="I27" s="425">
        <v>0</v>
      </c>
      <c r="J27" s="425">
        <f t="shared" si="1"/>
        <v>0</v>
      </c>
      <c r="K27" s="425">
        <f t="shared" si="2"/>
        <v>0</v>
      </c>
      <c r="L27" s="431">
        <v>0</v>
      </c>
      <c r="M27" s="423">
        <f>(D14/60)*0</f>
        <v>0</v>
      </c>
      <c r="N27" s="427">
        <f>IFERROR(J27*IF(AND(ISNUMBER(SEARCH(TEXT(C27,"ddd"),$G$11)),Data!$F$2),$G$14,$D$14)+K27*$G$14,"")</f>
        <v>0</v>
      </c>
      <c r="O27" s="141">
        <f t="shared" si="3"/>
        <v>0</v>
      </c>
      <c r="P27" s="127"/>
      <c r="Q27" s="89"/>
    </row>
    <row r="28" spans="2:34">
      <c r="B28" s="69">
        <v>10</v>
      </c>
      <c r="C28" s="429">
        <f t="shared" si="4"/>
        <v>46287</v>
      </c>
      <c r="D28" s="430">
        <f t="shared" si="4"/>
        <v>46287</v>
      </c>
      <c r="E28" s="424">
        <v>0.375</v>
      </c>
      <c r="F28" s="424">
        <v>0</v>
      </c>
      <c r="G28" s="424">
        <f t="shared" si="0"/>
        <v>0.375</v>
      </c>
      <c r="H28" s="424">
        <v>0.5</v>
      </c>
      <c r="I28" s="425">
        <v>0</v>
      </c>
      <c r="J28" s="425">
        <f t="shared" si="1"/>
        <v>3</v>
      </c>
      <c r="K28" s="425">
        <f t="shared" si="2"/>
        <v>0</v>
      </c>
      <c r="L28" s="431">
        <v>0</v>
      </c>
      <c r="M28" s="423">
        <f>(D14/60)*0</f>
        <v>0</v>
      </c>
      <c r="N28" s="427">
        <f>IFERROR(J28*IF(AND(ISNUMBER(SEARCH(TEXT(C28,"ddd"),$G$11)),Data!$F$2),$G$14,$D$14)+K28*$G$14,"")</f>
        <v>187.5</v>
      </c>
      <c r="O28" s="141">
        <f t="shared" si="3"/>
        <v>187.5</v>
      </c>
      <c r="Q28" s="89"/>
    </row>
    <row r="29" spans="2:34">
      <c r="B29" s="69">
        <v>11</v>
      </c>
      <c r="C29" s="429">
        <f t="shared" si="4"/>
        <v>46288</v>
      </c>
      <c r="D29" s="430">
        <f t="shared" si="4"/>
        <v>46288</v>
      </c>
      <c r="E29" s="424">
        <v>0</v>
      </c>
      <c r="F29" s="424">
        <v>0</v>
      </c>
      <c r="G29" s="424">
        <f t="shared" ref="G29" si="5">E29-F29</f>
        <v>0</v>
      </c>
      <c r="H29" s="424">
        <v>0</v>
      </c>
      <c r="I29" s="425">
        <v>0</v>
      </c>
      <c r="J29" s="425">
        <f t="shared" ref="J29:J31" si="6">IFERROR(IF(AND(G29&lt;&gt;"",H29&lt;&gt;""),IF(G29&gt;$B$14+TIME($C$14,($C$14-INT($C$14))*60,0),0,IF(H29&gt;$B$14+TIME($C$14,($C$14-INT($C$14))*60,0),MIN(TIME($C$14,($C$14-INT($C$14))*60,0),($B$14+TIME($C$14,($C$14-INT($C$14))*60,0)-G29)),MIN(IF((H29-$B$14)&lt;0,0,(H29-$B$14)),(H29-G29))))*24,"")-I29,"")</f>
        <v>0</v>
      </c>
      <c r="K29" s="425">
        <f t="shared" si="2"/>
        <v>0</v>
      </c>
      <c r="L29" s="431">
        <v>0</v>
      </c>
      <c r="M29" s="423">
        <f>(D14/60)*0</f>
        <v>0</v>
      </c>
      <c r="N29" s="427">
        <f>IFERROR(J29*IF(AND(ISNUMBER(SEARCH(TEXT(C29,"ddd"),$G$11)),Data!$F$2),$G$14,$D$14)+K29*$G$14,"")</f>
        <v>0</v>
      </c>
      <c r="O29" s="141">
        <f>M29+N29</f>
        <v>0</v>
      </c>
      <c r="P29" s="95">
        <f>O28-O29</f>
        <v>187.5</v>
      </c>
      <c r="Q29" s="89"/>
    </row>
    <row r="30" spans="2:34">
      <c r="B30" s="69">
        <v>12</v>
      </c>
      <c r="C30" s="429">
        <f t="shared" si="4"/>
        <v>46289</v>
      </c>
      <c r="D30" s="430">
        <f t="shared" si="4"/>
        <v>46289</v>
      </c>
      <c r="E30" s="424">
        <v>0.33333333333333331</v>
      </c>
      <c r="F30" s="424">
        <v>0</v>
      </c>
      <c r="G30" s="424">
        <f>E30-F30</f>
        <v>0.33333333333333331</v>
      </c>
      <c r="H30" s="424">
        <v>0.75</v>
      </c>
      <c r="I30" s="425">
        <v>1</v>
      </c>
      <c r="J30" s="425">
        <f t="shared" si="6"/>
        <v>9</v>
      </c>
      <c r="K30" s="425">
        <v>0</v>
      </c>
      <c r="L30" s="431">
        <f>G30-B14</f>
        <v>0</v>
      </c>
      <c r="M30" s="423">
        <f>(D14/60)*0</f>
        <v>0</v>
      </c>
      <c r="N30" s="427">
        <f>IFERROR(J30*IF(AND(ISNUMBER(SEARCH(TEXT(C30,"ddd"),$G$11)),Data!$F$2),$G$14,$D$14)+K30*$G$14,"")</f>
        <v>562.5</v>
      </c>
      <c r="O30" s="141">
        <f t="shared" si="3"/>
        <v>562.5</v>
      </c>
      <c r="P30" s="127"/>
      <c r="Q30" s="89"/>
    </row>
    <row r="31" spans="2:34">
      <c r="B31" s="69">
        <v>13</v>
      </c>
      <c r="C31" s="429">
        <f t="shared" si="4"/>
        <v>46290</v>
      </c>
      <c r="D31" s="430">
        <f t="shared" si="4"/>
        <v>46290</v>
      </c>
      <c r="E31" s="424">
        <v>0.33333333333333331</v>
      </c>
      <c r="F31" s="424">
        <v>0</v>
      </c>
      <c r="G31" s="424">
        <f>E31-F31</f>
        <v>0.33333333333333331</v>
      </c>
      <c r="H31" s="424">
        <v>0.75</v>
      </c>
      <c r="I31" s="425">
        <v>1</v>
      </c>
      <c r="J31" s="425">
        <f t="shared" si="6"/>
        <v>9</v>
      </c>
      <c r="K31" s="425">
        <v>4</v>
      </c>
      <c r="L31" s="431">
        <v>0</v>
      </c>
      <c r="M31" s="423">
        <f>(D15/60)*0</f>
        <v>0</v>
      </c>
      <c r="N31" s="427">
        <f>IFERROR(J31*IF(AND(ISNUMBER(SEARCH(TEXT(C31,"ddd"),$G$11)),Data!$F$2),$G$14,$D$14)+K31*$G$14,"")</f>
        <v>875</v>
      </c>
      <c r="O31" s="141">
        <f>M31+N31</f>
        <v>875</v>
      </c>
      <c r="P31" s="95">
        <f>O28-O31</f>
        <v>-687.5</v>
      </c>
    </row>
    <row r="32" spans="2:34">
      <c r="B32" s="66"/>
      <c r="C32" s="442"/>
      <c r="D32" s="443"/>
      <c r="E32" s="444"/>
      <c r="F32" s="444"/>
      <c r="G32" s="593" t="s">
        <v>182</v>
      </c>
      <c r="H32" s="594"/>
      <c r="I32" s="445">
        <f>SUM(I17:I31)</f>
        <v>10</v>
      </c>
      <c r="J32" s="445">
        <f>SUM(J17:J31)</f>
        <v>96</v>
      </c>
      <c r="K32" s="445">
        <f>SUM(K17:K31)</f>
        <v>4</v>
      </c>
      <c r="L32" s="446">
        <f>SUM(L17:L31)</f>
        <v>0</v>
      </c>
      <c r="M32" s="447">
        <f>SUM(M17:M31)</f>
        <v>0</v>
      </c>
      <c r="N32" s="441"/>
      <c r="O32" s="165">
        <f>SUM(O17:O31)</f>
        <v>6593.75</v>
      </c>
      <c r="P32" s="165">
        <f>SUM(P17:P31)</f>
        <v>-312.5</v>
      </c>
      <c r="Q32" s="95">
        <f>O32+P32</f>
        <v>6281.25</v>
      </c>
    </row>
    <row r="33" spans="2:17">
      <c r="B33" s="66"/>
      <c r="C33" s="442"/>
      <c r="D33" s="443"/>
      <c r="E33" s="444"/>
      <c r="F33" s="444"/>
      <c r="G33" s="459" t="s">
        <v>39</v>
      </c>
      <c r="H33" s="460"/>
      <c r="I33" s="461"/>
      <c r="J33" s="462"/>
      <c r="K33" s="463"/>
      <c r="L33" s="423">
        <f>(D14/60)*0</f>
        <v>0</v>
      </c>
      <c r="M33" s="465"/>
      <c r="N33" s="466">
        <f>D14*H14</f>
        <v>6000</v>
      </c>
      <c r="O33" s="95"/>
      <c r="P33" s="95"/>
      <c r="Q33" s="95"/>
    </row>
    <row r="34" spans="2:17">
      <c r="B34" s="65"/>
      <c r="C34" s="467"/>
      <c r="D34" s="468"/>
      <c r="E34" s="468"/>
      <c r="F34" s="468"/>
      <c r="G34" s="607" t="s">
        <v>183</v>
      </c>
      <c r="H34" s="607"/>
      <c r="I34" s="445"/>
      <c r="J34" s="445">
        <f>H14-J32</f>
        <v>0</v>
      </c>
      <c r="K34" s="467"/>
      <c r="L34" s="423"/>
      <c r="M34" s="467"/>
      <c r="N34" s="470">
        <f>M32</f>
        <v>0</v>
      </c>
      <c r="O34" s="151">
        <f>O32-O33</f>
        <v>6593.75</v>
      </c>
      <c r="P34" s="95"/>
      <c r="Q34" s="95"/>
    </row>
    <row r="35" spans="2:17">
      <c r="B35" s="65"/>
      <c r="C35" s="65"/>
      <c r="D35" s="85"/>
      <c r="E35" s="145"/>
      <c r="F35" s="145"/>
      <c r="G35" s="78" t="s">
        <v>41</v>
      </c>
      <c r="H35" s="79"/>
      <c r="I35" s="66"/>
      <c r="J35" s="66"/>
      <c r="K35" s="80"/>
      <c r="L35" s="80"/>
      <c r="M35" s="80"/>
      <c r="N35" s="121">
        <f>N33-N34</f>
        <v>6000</v>
      </c>
      <c r="O35" s="95"/>
      <c r="P35" s="95"/>
      <c r="Q35" s="95"/>
    </row>
    <row r="36" spans="2:17">
      <c r="B36" s="65"/>
      <c r="C36" s="65"/>
      <c r="D36" s="85"/>
      <c r="E36" s="146"/>
      <c r="F36" s="146"/>
      <c r="G36" s="604" t="s">
        <v>184</v>
      </c>
      <c r="H36" s="605"/>
      <c r="I36" s="80"/>
      <c r="J36" s="401"/>
      <c r="K36" s="122"/>
      <c r="L36" s="122"/>
      <c r="M36" s="122"/>
      <c r="N36" s="123">
        <f>G14*K32</f>
        <v>312.5</v>
      </c>
      <c r="O36" s="95"/>
    </row>
    <row r="37" spans="2:17">
      <c r="B37" s="65"/>
      <c r="C37" s="65"/>
      <c r="D37" s="85"/>
      <c r="E37" s="146"/>
      <c r="F37" s="146"/>
      <c r="G37" s="86" t="s">
        <v>185</v>
      </c>
      <c r="H37" s="87"/>
      <c r="I37" s="80"/>
      <c r="J37" s="66"/>
      <c r="K37" s="122"/>
      <c r="L37" s="122"/>
      <c r="M37" s="122"/>
      <c r="N37" s="123">
        <v>0</v>
      </c>
      <c r="O37" s="95"/>
    </row>
    <row r="38" spans="2:17">
      <c r="B38" s="65"/>
      <c r="C38" s="65"/>
      <c r="D38" s="85"/>
      <c r="E38" s="145"/>
      <c r="F38" s="145"/>
      <c r="G38" s="597" t="s">
        <v>186</v>
      </c>
      <c r="H38" s="598"/>
      <c r="I38" s="66"/>
      <c r="J38" s="66"/>
      <c r="K38" s="66"/>
      <c r="L38" s="66"/>
      <c r="M38" s="66"/>
      <c r="N38" s="124">
        <f>N35+N36+N37</f>
        <v>6312.5</v>
      </c>
      <c r="O38" s="95"/>
    </row>
    <row r="39" spans="2:17">
      <c r="D39" s="88"/>
      <c r="E39" s="88"/>
      <c r="F39" s="88"/>
      <c r="G39" s="589"/>
      <c r="H39" s="589"/>
      <c r="I39" s="90"/>
      <c r="J39" s="90"/>
      <c r="K39" s="125"/>
      <c r="L39" s="125"/>
      <c r="M39" s="125"/>
      <c r="N39" s="126"/>
      <c r="O39" s="127"/>
    </row>
    <row r="40" spans="2:17">
      <c r="D40" s="91"/>
      <c r="E40" s="91"/>
      <c r="F40" s="91"/>
      <c r="M40" t="s">
        <v>196</v>
      </c>
    </row>
    <row r="41" spans="2:17">
      <c r="B41" s="590" t="s">
        <v>187</v>
      </c>
      <c r="C41" s="590"/>
      <c r="D41" s="590"/>
      <c r="E41" s="590"/>
      <c r="F41" s="590"/>
      <c r="G41" s="590"/>
      <c r="H41" s="590"/>
      <c r="I41" s="590"/>
      <c r="J41" s="590"/>
      <c r="K41" s="590"/>
      <c r="L41" s="590"/>
      <c r="M41" s="590"/>
      <c r="N41" s="590"/>
    </row>
    <row r="42" spans="2:17">
      <c r="D42" s="91"/>
      <c r="E42" s="91"/>
      <c r="F42" s="91"/>
    </row>
    <row r="43" spans="2:17">
      <c r="D43" s="91" t="s">
        <v>188</v>
      </c>
      <c r="E43" s="91"/>
      <c r="F43" s="91"/>
      <c r="N43" s="95"/>
    </row>
    <row r="44" spans="2:17">
      <c r="D44" s="54" t="s">
        <v>10</v>
      </c>
      <c r="E44" s="54"/>
      <c r="F44" s="54"/>
      <c r="G44" s="54" t="s">
        <v>11</v>
      </c>
      <c r="H44" s="54" t="s">
        <v>12</v>
      </c>
      <c r="I44" s="55" t="s">
        <v>13</v>
      </c>
    </row>
    <row r="45" spans="2:17">
      <c r="D45" s="56">
        <v>2026</v>
      </c>
      <c r="E45" s="56"/>
      <c r="F45" s="56"/>
      <c r="G45" s="56" t="s">
        <v>204</v>
      </c>
      <c r="H45" s="56">
        <v>12</v>
      </c>
      <c r="I45" s="56" t="s">
        <v>15</v>
      </c>
    </row>
    <row r="46" spans="2:17">
      <c r="D46" s="57"/>
      <c r="E46" s="57"/>
      <c r="F46" s="57"/>
      <c r="G46" s="57"/>
    </row>
    <row r="47" spans="2:17" ht="33.75">
      <c r="D47" s="159" t="s">
        <v>16</v>
      </c>
      <c r="E47" s="159"/>
      <c r="F47" s="159"/>
      <c r="G47" s="159" t="s">
        <v>17</v>
      </c>
      <c r="H47" s="159" t="s">
        <v>18</v>
      </c>
      <c r="I47" s="159" t="s">
        <v>19</v>
      </c>
    </row>
    <row r="48" spans="2:17">
      <c r="D48" s="61">
        <v>0.33333333333333298</v>
      </c>
      <c r="E48" s="61"/>
      <c r="F48" s="61"/>
      <c r="G48" s="62">
        <v>10</v>
      </c>
      <c r="H48" s="63">
        <f>D14</f>
        <v>62.5</v>
      </c>
      <c r="I48" s="130">
        <f>(H48*30%)+H48</f>
        <v>81.25</v>
      </c>
    </row>
    <row r="50" spans="3:14">
      <c r="C50" s="131" t="s">
        <v>20</v>
      </c>
      <c r="D50" s="131" t="s">
        <v>12</v>
      </c>
      <c r="E50" s="131"/>
      <c r="F50" s="131"/>
      <c r="G50" s="131" t="s">
        <v>21</v>
      </c>
      <c r="H50" s="131" t="s">
        <v>22</v>
      </c>
      <c r="I50" s="131" t="s">
        <v>23</v>
      </c>
      <c r="J50" s="131" t="s">
        <v>24</v>
      </c>
      <c r="K50" s="131" t="s">
        <v>25</v>
      </c>
      <c r="L50" s="131"/>
      <c r="M50" s="131"/>
      <c r="N50" s="131" t="s">
        <v>26</v>
      </c>
    </row>
    <row r="51" spans="3:14">
      <c r="C51" s="70" t="s">
        <v>353</v>
      </c>
      <c r="D51" s="71">
        <f>DATE($B$11,MATCH($G$45,Data!$B$2:$B$13,0),ABREA!$H$45)</f>
        <v>46185</v>
      </c>
      <c r="E51" s="71"/>
      <c r="F51" s="71"/>
      <c r="G51" s="72">
        <v>0.33333333333333331</v>
      </c>
      <c r="H51" s="72">
        <v>0.75</v>
      </c>
      <c r="I51" s="73">
        <v>1</v>
      </c>
      <c r="J51" s="73">
        <f>IFERROR(IF(AND(G51&lt;&gt;"",H51&lt;&gt;""),IF(G51&gt;$B$14+TIME($C$14,($C$14-INT($C$14))*60,0),0,IF(H51&gt;$B$14+TIME($C$14,($C$14-INT($C$14))*60,0),MIN(TIME($C$14,($C$14-INT($C$14))*60,0),($B$14+TIME($C$14,($C$14-INT($C$14))*60,0)-G51)),MIN(IF((H51-$B$14)&lt;0,0,(H51-$B$14)),(H51-G51))))*24,"")-I51,"")</f>
        <v>9</v>
      </c>
      <c r="K51" s="73">
        <f>IF(AND(G51&lt;&gt;"",H51&lt;&gt;""),((IF(G51&lt;$D$48,MIN($D$48-G51,H51-G51),0)+IF(H51&gt;$D$48+TIME($G$48,($G$48-INT($G$48))*60,0),MIN((H51-$D$48-TIME($G$48,($G$48-INT($G$48))*60,0)),(H51-G51)),0))*24),"")</f>
        <v>0</v>
      </c>
      <c r="L51" s="73"/>
      <c r="M51" s="73"/>
      <c r="N51" s="99">
        <f>(J51*H48)+562.5*30%</f>
        <v>731.25</v>
      </c>
    </row>
    <row r="52" spans="3:14">
      <c r="C52" s="70" t="s">
        <v>445</v>
      </c>
      <c r="D52" s="71">
        <v>23</v>
      </c>
      <c r="E52" s="71"/>
      <c r="F52" s="71"/>
      <c r="G52" s="72">
        <v>0</v>
      </c>
      <c r="H52" s="72">
        <v>0</v>
      </c>
      <c r="I52" s="73">
        <v>0</v>
      </c>
      <c r="J52" s="73">
        <f>IFERROR(IF(AND(G52&lt;&gt;"",H52&lt;&gt;""),IF(G52&gt;$B$14+TIME($C$14,($C$14-INT($C$14))*60,0),0,IF(H52&gt;$B$14+TIME($C$14,($C$14-INT($C$14))*60,0),MIN(TIME($C$14,($C$14-INT($C$14))*60,0),($B$14+TIME($C$14,($C$14-INT($C$14))*60,0)-G52)),MIN(IF((H52-$B$14)&lt;0,0,(H52-$B$14)),(H52-G52))))*24,"")-I52,"")</f>
        <v>0</v>
      </c>
      <c r="K52" s="73">
        <f>IF(AND(G52&lt;&gt;"",H52&lt;&gt;""),((IF(G52&lt;$D$48,MIN($D$48-G52,H52-G52),0)+IF(H52&gt;$D$48+TIME($G$48,($G$48-INT($G$48))*60,0),MIN((H52-$D$48-TIME($G$48,($G$48-INT($G$48))*60,0)),(H52-G52)),0))*24),"")</f>
        <v>0</v>
      </c>
      <c r="L52" s="73"/>
      <c r="M52" s="73"/>
      <c r="N52" s="99">
        <v>0</v>
      </c>
    </row>
    <row r="53" spans="3:14"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318">
        <f>SUM(N51:N52)</f>
        <v>731.25</v>
      </c>
    </row>
    <row r="54" spans="3:14">
      <c r="N54" s="324"/>
    </row>
    <row r="55" spans="3:14">
      <c r="N55" s="324"/>
    </row>
    <row r="56" spans="3:14">
      <c r="N56" s="138"/>
    </row>
    <row r="57" spans="3:14">
      <c r="N57" s="138"/>
    </row>
    <row r="58" spans="3:14">
      <c r="M58" s="95">
        <f>N53+475.96</f>
        <v>1207.21</v>
      </c>
      <c r="N58" s="138"/>
    </row>
    <row r="59" spans="3:14">
      <c r="C59" s="132" t="s">
        <v>190</v>
      </c>
      <c r="D59" s="132"/>
      <c r="N59" s="138"/>
    </row>
    <row r="60" spans="3:14">
      <c r="N60" s="138"/>
    </row>
    <row r="61" spans="3:14">
      <c r="C61" s="591">
        <v>44981</v>
      </c>
      <c r="D61" s="591"/>
      <c r="E61" s="591"/>
      <c r="F61" s="88">
        <v>562.5</v>
      </c>
      <c r="G61" s="148" t="s">
        <v>280</v>
      </c>
      <c r="H61" s="254"/>
      <c r="N61" s="138"/>
    </row>
    <row r="62" spans="3:14">
      <c r="D62" s="88"/>
      <c r="E62" s="88"/>
      <c r="F62" s="256">
        <f>F61*G62</f>
        <v>168.75</v>
      </c>
      <c r="G62" s="253">
        <v>0.3</v>
      </c>
      <c r="H62" s="254"/>
      <c r="N62" s="138"/>
    </row>
    <row r="63" spans="3:14">
      <c r="D63" s="91"/>
      <c r="E63" s="91"/>
      <c r="F63" s="91"/>
      <c r="N63" s="138"/>
    </row>
    <row r="64" spans="3:14">
      <c r="D64" s="91"/>
      <c r="E64" s="91"/>
      <c r="F64" s="91"/>
      <c r="G64" s="257">
        <f>F62</f>
        <v>168.75</v>
      </c>
      <c r="N64" s="138"/>
    </row>
    <row r="65" spans="3:9">
      <c r="D65" s="132"/>
      <c r="E65" s="132"/>
      <c r="F65" s="132"/>
      <c r="G65" s="133"/>
      <c r="H65" s="133"/>
      <c r="I65" s="133"/>
    </row>
    <row r="66" spans="3:9">
      <c r="D66" s="132"/>
      <c r="E66" s="132"/>
      <c r="F66" s="132"/>
      <c r="G66" s="133"/>
      <c r="H66" s="133"/>
      <c r="I66" s="133"/>
    </row>
    <row r="67" spans="3:9">
      <c r="F67" s="132"/>
      <c r="G67" s="133"/>
      <c r="H67" s="133"/>
      <c r="I67" s="133"/>
    </row>
    <row r="68" spans="3:9">
      <c r="G68" s="606"/>
      <c r="H68" s="606"/>
    </row>
    <row r="71" spans="3:9">
      <c r="C71" s="91" t="s">
        <v>141</v>
      </c>
    </row>
    <row r="72" spans="3:9">
      <c r="C72" t="s">
        <v>66</v>
      </c>
    </row>
    <row r="73" spans="3:9">
      <c r="C73" s="91"/>
    </row>
  </sheetData>
  <mergeCells count="13">
    <mergeCell ref="G68:H68"/>
    <mergeCell ref="G34:H34"/>
    <mergeCell ref="G36:H36"/>
    <mergeCell ref="G38:H38"/>
    <mergeCell ref="G39:H39"/>
    <mergeCell ref="B41:N41"/>
    <mergeCell ref="C61:E61"/>
    <mergeCell ref="G32:H32"/>
    <mergeCell ref="A6:N6"/>
    <mergeCell ref="C7:D7"/>
    <mergeCell ref="M7:O7"/>
    <mergeCell ref="C8:D8"/>
    <mergeCell ref="M8:O8"/>
  </mergeCells>
  <conditionalFormatting sqref="C17:D17">
    <cfRule type="expression" dxfId="191" priority="166">
      <formula>ISNUMBER(SEARCH(TEXT($B17,"ddd"),$F$10))</formula>
    </cfRule>
  </conditionalFormatting>
  <conditionalFormatting sqref="C18:D31">
    <cfRule type="expression" dxfId="190" priority="168">
      <formula>ISNUMBER(SEARCH(TEXT($C18,"ddd"),$G$11))</formula>
    </cfRule>
  </conditionalFormatting>
  <conditionalFormatting sqref="C51:N52">
    <cfRule type="expression" dxfId="189" priority="1">
      <formula>ISNUMBER(SEARCH(TEXT($C51,"ddd"),$G$11))</formula>
    </cfRule>
  </conditionalFormatting>
  <conditionalFormatting sqref="E17:L31">
    <cfRule type="expression" dxfId="188" priority="2">
      <formula>ISNUMBER(SEARCH(TEXT($C17,"ddd"),$G$11))</formula>
    </cfRule>
  </conditionalFormatting>
  <conditionalFormatting sqref="N17:N31">
    <cfRule type="expression" dxfId="187" priority="167">
      <formula>ISNUMBER(SEARCH(TEXT($B17,"ddd"),$F$10))</formula>
    </cfRule>
  </conditionalFormatting>
  <dataValidations count="5">
    <dataValidation type="list" allowBlank="1" showInputMessage="1" showErrorMessage="1" sqref="D11 H45" xr:uid="{00000000-0002-0000-1C00-000000000000}">
      <formula1>DateCalc</formula1>
    </dataValidation>
    <dataValidation type="custom" allowBlank="1" showInputMessage="1" showErrorMessage="1" sqref="H51:H52 H17:H31" xr:uid="{00000000-0002-0000-1C00-000001000000}">
      <formula1>AND($H17&lt;=1,ISNUMBER($H17),($H17&gt;=$G17))</formula1>
    </dataValidation>
    <dataValidation type="custom" allowBlank="1" showInputMessage="1" showErrorMessage="1" sqref="G51:G52 E17:G31" xr:uid="{00000000-0002-0000-1C00-000002000000}">
      <formula1>AND($G17&lt;=1,ISNUMBER($G17))</formula1>
    </dataValidation>
    <dataValidation type="list" allowBlank="1" showInputMessage="1" showErrorMessage="1" sqref="E11:F11" xr:uid="{00000000-0002-0000-1C00-000003000000}">
      <formula1>ABREA!DateCalc</formula1>
    </dataValidation>
    <dataValidation type="list" allowBlank="1" showInputMessage="1" showErrorMessage="1" sqref="G11" xr:uid="{00000000-0002-0000-1C00-000007000000}"/>
  </dataValidations>
  <pageMargins left="1.07083333333333" right="0.25" top="0.359722222222222" bottom="0.39791666666666697" header="0.29861111111111099" footer="0.29861111111111099"/>
  <pageSetup paperSize="9" scale="91" orientation="landscape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24961" r:id="rId4" name="Check Box 1">
              <controlPr defaultSize="0" print="0" autoPict="0">
                <anchor moveWithCells="1">
                  <from>
                    <xdr:col>7</xdr:col>
                    <xdr:colOff>180975</xdr:colOff>
                    <xdr:row>9</xdr:row>
                    <xdr:rowOff>28575</xdr:rowOff>
                  </from>
                  <to>
                    <xdr:col>8</xdr:col>
                    <xdr:colOff>571500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C00-000004000000}">
          <x14:formula1>
            <xm:f>Data!$D$2:$D$16</xm:f>
          </x14:formula1>
          <xm:sqref>I45</xm:sqref>
        </x14:dataValidation>
        <x14:dataValidation type="list" allowBlank="1" showInputMessage="1" showErrorMessage="1" xr:uid="{00000000-0002-0000-1C00-000005000000}">
          <x14:formula1>
            <xm:f>Data!$A$2:$A$15</xm:f>
          </x14:formula1>
          <xm:sqref>B11 D45:F45</xm:sqref>
        </x14:dataValidation>
        <x14:dataValidation type="list" allowBlank="1" showInputMessage="1" showErrorMessage="1" xr:uid="{00000000-0002-0000-1C00-000006000000}">
          <x14:formula1>
            <xm:f>Data!$B$2:$B$13</xm:f>
          </x14:formula1>
          <xm:sqref>C11 G45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5:AH72"/>
  <sheetViews>
    <sheetView showGridLines="0" showWhiteSpace="0" view="pageLayout" topLeftCell="A15" zoomScaleNormal="100" workbookViewId="0">
      <selection activeCell="N34" sqref="N34"/>
    </sheetView>
  </sheetViews>
  <sheetFormatPr defaultColWidth="9" defaultRowHeight="12.75"/>
  <cols>
    <col min="1" max="1" width="1.625" customWidth="1"/>
    <col min="2" max="2" width="5.375" customWidth="1"/>
    <col min="3" max="3" width="7.125" customWidth="1"/>
    <col min="4" max="6" width="7.625" customWidth="1"/>
    <col min="7" max="7" width="10.125" customWidth="1"/>
    <col min="8" max="8" width="9.625" customWidth="1"/>
    <col min="9" max="9" width="8.125" customWidth="1"/>
    <col min="10" max="10" width="10.125" customWidth="1"/>
    <col min="11" max="11" width="7.875" customWidth="1"/>
    <col min="12" max="12" width="9.625" customWidth="1"/>
    <col min="13" max="13" width="11.375" customWidth="1"/>
    <col min="14" max="14" width="10.875" customWidth="1"/>
    <col min="15" max="15" width="16.875" customWidth="1"/>
    <col min="18" max="18" width="11.125" customWidth="1"/>
  </cols>
  <sheetData>
    <row r="5" spans="1:21" ht="25.5" customHeight="1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21" s="47" customFormat="1" ht="25.5" customHeight="1">
      <c r="A6" s="603"/>
      <c r="B6" s="603"/>
      <c r="C6" s="603"/>
      <c r="D6" s="603"/>
      <c r="E6" s="603"/>
      <c r="F6" s="603"/>
      <c r="G6" s="603"/>
      <c r="H6" s="603"/>
      <c r="I6" s="603"/>
      <c r="J6" s="603"/>
      <c r="K6" s="603"/>
      <c r="L6" s="603"/>
      <c r="M6" s="603"/>
      <c r="N6" s="603"/>
    </row>
    <row r="7" spans="1:21" ht="18.75" customHeight="1">
      <c r="C7" s="527" t="s">
        <v>3</v>
      </c>
      <c r="D7" s="527"/>
      <c r="E7" s="49"/>
      <c r="F7" s="49"/>
      <c r="G7" s="50" t="s">
        <v>326</v>
      </c>
      <c r="H7" s="51"/>
      <c r="K7" s="49" t="s">
        <v>174</v>
      </c>
      <c r="M7" s="599" t="str">
        <f>PAALAN!L7</f>
        <v>September  11-25, 2026</v>
      </c>
      <c r="N7" s="599"/>
      <c r="O7" s="599"/>
    </row>
    <row r="8" spans="1:21" ht="18.75" customHeight="1">
      <c r="C8" s="527" t="s">
        <v>175</v>
      </c>
      <c r="D8" s="527"/>
      <c r="E8" s="49"/>
      <c r="F8" s="49"/>
      <c r="G8" s="50" t="s">
        <v>453</v>
      </c>
      <c r="H8" s="51"/>
      <c r="K8" s="49" t="s">
        <v>176</v>
      </c>
      <c r="L8" s="92"/>
      <c r="M8" s="600" t="str">
        <f>PAALAN!L8</f>
        <v>9/31/2026</v>
      </c>
      <c r="N8" s="600"/>
      <c r="O8" s="600"/>
    </row>
    <row r="9" spans="1:21">
      <c r="C9" s="52"/>
      <c r="D9" s="53"/>
      <c r="E9" s="53"/>
      <c r="F9" s="53"/>
      <c r="G9" s="53"/>
    </row>
    <row r="10" spans="1:21">
      <c r="B10" s="54" t="s">
        <v>10</v>
      </c>
      <c r="C10" s="54" t="s">
        <v>11</v>
      </c>
      <c r="D10" s="54" t="s">
        <v>12</v>
      </c>
      <c r="E10" s="54"/>
      <c r="F10" s="54"/>
      <c r="G10" s="55" t="s">
        <v>13</v>
      </c>
    </row>
    <row r="11" spans="1:21">
      <c r="B11" s="56">
        <v>2026</v>
      </c>
      <c r="C11" s="56" t="s">
        <v>177</v>
      </c>
      <c r="D11" s="56">
        <v>11</v>
      </c>
      <c r="E11" s="56"/>
      <c r="F11" s="56"/>
      <c r="G11" s="56" t="s">
        <v>178</v>
      </c>
    </row>
    <row r="12" spans="1:21">
      <c r="B12" s="57"/>
      <c r="C12" s="57"/>
      <c r="H12" s="57"/>
      <c r="K12" s="57"/>
      <c r="L12" s="57"/>
      <c r="M12" s="57"/>
    </row>
    <row r="13" spans="1:21" ht="32.1" customHeight="1">
      <c r="B13" s="159" t="s">
        <v>16</v>
      </c>
      <c r="C13" s="159" t="s">
        <v>17</v>
      </c>
      <c r="D13" s="159" t="s">
        <v>18</v>
      </c>
      <c r="E13" s="160"/>
      <c r="F13" s="160"/>
      <c r="G13" s="160" t="s">
        <v>19</v>
      </c>
      <c r="H13" s="161" t="s">
        <v>179</v>
      </c>
      <c r="L13" s="93"/>
      <c r="M13" s="93"/>
      <c r="N13" s="94"/>
      <c r="O13" s="159" t="s">
        <v>16</v>
      </c>
      <c r="P13" s="159" t="s">
        <v>17</v>
      </c>
      <c r="Q13" s="159" t="s">
        <v>18</v>
      </c>
      <c r="R13" s="160"/>
      <c r="S13" s="160"/>
      <c r="T13" s="160" t="s">
        <v>19</v>
      </c>
      <c r="U13" s="161" t="s">
        <v>179</v>
      </c>
    </row>
    <row r="14" spans="1:21">
      <c r="B14" s="61">
        <v>0.33333333333333331</v>
      </c>
      <c r="C14" s="62">
        <v>10</v>
      </c>
      <c r="D14" s="63">
        <f>(14000/26)/8</f>
        <v>67.307692307692307</v>
      </c>
      <c r="E14" s="142"/>
      <c r="F14" s="142"/>
      <c r="G14" s="64">
        <f>(D14*25%)+D14</f>
        <v>84.134615384615387</v>
      </c>
      <c r="H14" s="65">
        <v>105</v>
      </c>
      <c r="I14" s="95"/>
      <c r="L14" s="57"/>
      <c r="M14" s="57"/>
      <c r="N14" s="95"/>
      <c r="O14" s="61">
        <v>0.375</v>
      </c>
      <c r="P14" s="62">
        <v>3</v>
      </c>
      <c r="Q14" s="63">
        <f>(14427.92/26)/8</f>
        <v>69.364999999999995</v>
      </c>
      <c r="R14" s="142"/>
      <c r="S14" s="142"/>
      <c r="T14" s="64">
        <f>(Q14*25%)+Q14</f>
        <v>86.706249999999997</v>
      </c>
      <c r="U14" s="65">
        <v>99</v>
      </c>
    </row>
    <row r="15" spans="1:21">
      <c r="H15" s="65"/>
      <c r="N15" s="96"/>
    </row>
    <row r="16" spans="1:21" ht="23.25">
      <c r="B16" s="66"/>
      <c r="C16" s="67" t="s">
        <v>20</v>
      </c>
      <c r="D16" s="67" t="s">
        <v>12</v>
      </c>
      <c r="E16" s="67"/>
      <c r="F16" s="67"/>
      <c r="G16" s="67" t="s">
        <v>21</v>
      </c>
      <c r="H16" s="67" t="s">
        <v>22</v>
      </c>
      <c r="I16" s="68" t="s">
        <v>23</v>
      </c>
      <c r="J16" s="68" t="s">
        <v>24</v>
      </c>
      <c r="K16" s="68" t="s">
        <v>25</v>
      </c>
      <c r="L16" s="67" t="s">
        <v>180</v>
      </c>
      <c r="M16" s="134" t="s">
        <v>181</v>
      </c>
      <c r="N16" s="67" t="s">
        <v>26</v>
      </c>
    </row>
    <row r="17" spans="2:34">
      <c r="B17" s="432">
        <v>1</v>
      </c>
      <c r="C17" s="429">
        <f>DATE($B$11,MATCH($C$11,Data!$B$2:$B$13,0),MACATANGAY!$D$11)</f>
        <v>46276</v>
      </c>
      <c r="D17" s="430">
        <f>DATE($B$11,MATCH($C$11,Data!$B$2:$B$13,0),MACATANGAY!$D$11)</f>
        <v>46276</v>
      </c>
      <c r="E17" s="424">
        <v>0.3354166666666667</v>
      </c>
      <c r="F17" s="424">
        <v>0</v>
      </c>
      <c r="G17" s="424">
        <f t="shared" ref="G17:G19" si="0">E17-F17</f>
        <v>0.3354166666666667</v>
      </c>
      <c r="H17" s="424">
        <v>0.72777777777777775</v>
      </c>
      <c r="I17" s="425">
        <v>1</v>
      </c>
      <c r="J17" s="425">
        <f t="shared" ref="J17:J21" si="1">IFERROR(IF(AND(G17&lt;&gt;"",H17&lt;&gt;""),IF(G17&gt;$B$14+TIME($C$14,($C$14-INT($C$14))*60,0),0,IF(H17&gt;$B$14+TIME($C$14,($C$14-INT($C$14))*60,0),MIN(TIME($C$14,($C$14-INT($C$14))*60,0),($B$14+TIME($C$14,($C$14-INT($C$14))*60,0)-G17)),MIN(IF((H17-$B$14)&lt;0,0,(H17-$B$14)),(H17-G17))))*24,"")-I17,"")</f>
        <v>8.4166666666666643</v>
      </c>
      <c r="K17" s="425">
        <f t="shared" ref="K17:K21" si="2">IF(AND(G17&lt;&gt;"",H17&lt;&gt;""),((IF(G17&lt;$B$14,MIN($B$14-G17,H17-G17),0)+IF(H17&gt;$B$14+TIME($C$14,($C$14-INT($C$14))*60,0),MIN((H17-$B$14-TIME($C$14,($C$14-INT($C$14))*60,0)),(H17-G17)),0))*24),"")</f>
        <v>0</v>
      </c>
      <c r="L17" s="431">
        <f>E17-B14</f>
        <v>2.0833333333333814E-3</v>
      </c>
      <c r="M17" s="423">
        <f>(D14/60)*3</f>
        <v>3.3653846153846154</v>
      </c>
      <c r="N17" s="427">
        <f>IFERROR(J17*IF(AND(ISNUMBER(SEARCH(TEXT(C17,"ddd"),$G$11)),Data!$F$2),$G$14,$D$14)+K17*$G$14,"")</f>
        <v>566.50641025641005</v>
      </c>
      <c r="O17" s="141">
        <f t="shared" ref="O17:O30" si="3">M17+N17</f>
        <v>569.87179487179469</v>
      </c>
      <c r="P17" s="100"/>
      <c r="Q17" s="89"/>
    </row>
    <row r="18" spans="2:34">
      <c r="B18" s="432">
        <v>2</v>
      </c>
      <c r="C18" s="429">
        <f t="shared" ref="C18:D31" si="4">C17+1</f>
        <v>46277</v>
      </c>
      <c r="D18" s="430">
        <f t="shared" si="4"/>
        <v>46277</v>
      </c>
      <c r="E18" s="424">
        <v>0.375</v>
      </c>
      <c r="F18" s="424">
        <v>0</v>
      </c>
      <c r="G18" s="424">
        <f t="shared" si="0"/>
        <v>0.375</v>
      </c>
      <c r="H18" s="424">
        <v>0.5</v>
      </c>
      <c r="I18" s="425">
        <v>0</v>
      </c>
      <c r="J18" s="425">
        <f t="shared" si="1"/>
        <v>3</v>
      </c>
      <c r="K18" s="425">
        <f t="shared" si="2"/>
        <v>0</v>
      </c>
      <c r="L18" s="431">
        <f>E18-B14</f>
        <v>4.1666666666666685E-2</v>
      </c>
      <c r="M18" s="423">
        <f>(D14/60)*0</f>
        <v>0</v>
      </c>
      <c r="N18" s="427">
        <f>IFERROR(J18*IF(AND(ISNUMBER(SEARCH(TEXT(C18,"ddd"),$G$11)),Data!$F$2),$G$14,$D$14)+K18*$G$14,"")</f>
        <v>201.92307692307691</v>
      </c>
      <c r="O18" s="141">
        <f t="shared" si="3"/>
        <v>201.92307692307691</v>
      </c>
      <c r="P18" s="89"/>
      <c r="Q18" s="89"/>
    </row>
    <row r="19" spans="2:34">
      <c r="B19" s="432"/>
      <c r="C19" s="429">
        <f t="shared" si="4"/>
        <v>46278</v>
      </c>
      <c r="D19" s="430">
        <f t="shared" si="4"/>
        <v>46278</v>
      </c>
      <c r="E19" s="424">
        <v>0</v>
      </c>
      <c r="F19" s="424">
        <v>0</v>
      </c>
      <c r="G19" s="424">
        <f t="shared" si="0"/>
        <v>0</v>
      </c>
      <c r="H19" s="424">
        <v>0</v>
      </c>
      <c r="I19" s="425">
        <v>0</v>
      </c>
      <c r="J19" s="425">
        <f t="shared" si="1"/>
        <v>0</v>
      </c>
      <c r="K19" s="425">
        <v>0</v>
      </c>
      <c r="L19" s="431">
        <v>0</v>
      </c>
      <c r="M19" s="98">
        <f>(D14/60)*0</f>
        <v>0</v>
      </c>
      <c r="N19" s="251">
        <f>IFERROR(J19*IF(AND(ISNUMBER(SEARCH(TEXT(C19,"ddd"),$G$11)),Data!$F$2),$G$14,$D$14)+K19*$G$14,"")</f>
        <v>0</v>
      </c>
      <c r="O19" s="141">
        <f t="shared" si="3"/>
        <v>0</v>
      </c>
      <c r="P19" s="100"/>
      <c r="Q19" s="104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</row>
    <row r="20" spans="2:34">
      <c r="B20" s="432">
        <v>3</v>
      </c>
      <c r="C20" s="429">
        <f t="shared" si="4"/>
        <v>46279</v>
      </c>
      <c r="D20" s="430">
        <f t="shared" si="4"/>
        <v>46279</v>
      </c>
      <c r="E20" s="424">
        <v>0.33333333333333331</v>
      </c>
      <c r="F20" s="424">
        <v>0</v>
      </c>
      <c r="G20" s="424">
        <f t="shared" ref="G20:G21" si="5">E20-F20</f>
        <v>0.33333333333333331</v>
      </c>
      <c r="H20" s="424">
        <v>0.75</v>
      </c>
      <c r="I20" s="425">
        <v>1</v>
      </c>
      <c r="J20" s="425">
        <f t="shared" si="1"/>
        <v>9</v>
      </c>
      <c r="K20" s="425">
        <f t="shared" si="2"/>
        <v>0</v>
      </c>
      <c r="L20" s="431">
        <f>G20-B14</f>
        <v>0</v>
      </c>
      <c r="M20" s="423">
        <f>(D14/60)*0</f>
        <v>0</v>
      </c>
      <c r="N20" s="427">
        <f>IFERROR(J20*IF(AND(ISNUMBER(SEARCH(TEXT(C20,"ddd"),$G$11)),Data!$F$2),$G$14,$D$14)+K20*$G$14,"")</f>
        <v>605.76923076923072</v>
      </c>
      <c r="O20" s="141">
        <f t="shared" si="3"/>
        <v>605.76923076923072</v>
      </c>
      <c r="P20" s="103"/>
      <c r="Q20" s="103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28"/>
    </row>
    <row r="21" spans="2:34">
      <c r="B21" s="432">
        <v>4</v>
      </c>
      <c r="C21" s="429">
        <f t="shared" si="4"/>
        <v>46280</v>
      </c>
      <c r="D21" s="430">
        <f t="shared" si="4"/>
        <v>46280</v>
      </c>
      <c r="E21" s="424">
        <v>0.33333333333333331</v>
      </c>
      <c r="F21" s="424">
        <v>0</v>
      </c>
      <c r="G21" s="424">
        <f t="shared" si="5"/>
        <v>0.33333333333333331</v>
      </c>
      <c r="H21" s="424">
        <v>0.75</v>
      </c>
      <c r="I21" s="425">
        <v>1</v>
      </c>
      <c r="J21" s="425">
        <f t="shared" si="1"/>
        <v>9</v>
      </c>
      <c r="K21" s="425">
        <f t="shared" si="2"/>
        <v>0</v>
      </c>
      <c r="L21" s="431">
        <v>0</v>
      </c>
      <c r="M21" s="423">
        <f>(D14/60)*0</f>
        <v>0</v>
      </c>
      <c r="N21" s="427">
        <f>IFERROR(J21*IF(AND(ISNUMBER(SEARCH(TEXT(C21,"ddd"),$G$11)),Data!$F$2),$G$14,$D$14)+K21*$G$14,"")</f>
        <v>605.76923076923072</v>
      </c>
      <c r="O21" s="141">
        <f t="shared" si="3"/>
        <v>605.76923076923072</v>
      </c>
      <c r="P21" s="162"/>
      <c r="Q21" s="108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4"/>
    </row>
    <row r="22" spans="2:34">
      <c r="B22" s="432">
        <v>5</v>
      </c>
      <c r="C22" s="429">
        <f t="shared" si="4"/>
        <v>46281</v>
      </c>
      <c r="D22" s="430">
        <f t="shared" si="4"/>
        <v>46281</v>
      </c>
      <c r="E22" s="424">
        <v>0.33333333333333331</v>
      </c>
      <c r="F22" s="424">
        <v>0</v>
      </c>
      <c r="G22" s="424">
        <f t="shared" ref="G22:G29" si="6">E22-F22</f>
        <v>0.33333333333333331</v>
      </c>
      <c r="H22" s="424">
        <v>0.70833333333333337</v>
      </c>
      <c r="I22" s="425">
        <v>1</v>
      </c>
      <c r="J22" s="425">
        <f t="shared" ref="J22:J31" si="7">IFERROR(IF(AND(G22&lt;&gt;"",H22&lt;&gt;""),IF(G22&gt;$B$14+TIME($C$14,($C$14-INT($C$14))*60,0),0,IF(H22&gt;$B$14+TIME($C$14,($C$14-INT($C$14))*60,0),MIN(TIME($C$14,($C$14-INT($C$14))*60,0),($B$14+TIME($C$14,($C$14-INT($C$14))*60,0)-G22)),MIN(IF((H22-$B$14)&lt;0,0,(H22-$B$14)),(H22-G22))))*24,"")-I22,"")</f>
        <v>8.0000000000000018</v>
      </c>
      <c r="K22" s="425">
        <f t="shared" ref="K22:K25" si="8">IF(AND(G22&lt;&gt;"",H22&lt;&gt;""),((IF(G22&lt;$B$14,MIN($B$14-G22,H22-G22),0)+IF(H22&gt;$B$14+TIME($C$14,($C$14-INT($C$14))*60,0),MIN((H22-$B$14-TIME($C$14,($C$14-INT($C$14))*60,0)),(H22-G22)),0))*24),"")</f>
        <v>0</v>
      </c>
      <c r="L22" s="431">
        <v>0</v>
      </c>
      <c r="M22" s="423">
        <v>0</v>
      </c>
      <c r="N22" s="427">
        <f>IFERROR(J22*IF(AND(ISNUMBER(SEARCH(TEXT(C22,"ddd"),$G$11)),Data!$F$2),$G$14,$D$14)+K22*$G$14,"")</f>
        <v>538.46153846153857</v>
      </c>
      <c r="O22" s="141">
        <f t="shared" si="3"/>
        <v>538.46153846153857</v>
      </c>
      <c r="P22" s="163">
        <f>O21-O22</f>
        <v>67.30769230769215</v>
      </c>
      <c r="Q22" s="135"/>
      <c r="R22" s="96">
        <v>0.40486111111111101</v>
      </c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4"/>
    </row>
    <row r="23" spans="2:34">
      <c r="B23" s="432">
        <v>6</v>
      </c>
      <c r="C23" s="429">
        <f t="shared" si="4"/>
        <v>46282</v>
      </c>
      <c r="D23" s="430">
        <f t="shared" si="4"/>
        <v>46282</v>
      </c>
      <c r="E23" s="424">
        <v>0.33958333333333335</v>
      </c>
      <c r="F23" s="424">
        <v>0</v>
      </c>
      <c r="G23" s="424">
        <f t="shared" ref="G23:G27" si="9">E23-F23</f>
        <v>0.33958333333333335</v>
      </c>
      <c r="H23" s="424">
        <v>0.72638888888888886</v>
      </c>
      <c r="I23" s="425">
        <v>1</v>
      </c>
      <c r="J23" s="425">
        <f t="shared" ref="J23:J25" si="10">IFERROR(IF(AND(G23&lt;&gt;"",H23&lt;&gt;""),IF(G23&gt;$B$14+TIME($C$14,($C$14-INT($C$14))*60,0),0,IF(H23&gt;$B$14+TIME($C$14,($C$14-INT($C$14))*60,0),MIN(TIME($C$14,($C$14-INT($C$14))*60,0),($B$14+TIME($C$14,($C$14-INT($C$14))*60,0)-G23)),MIN(IF((H23-$B$14)&lt;0,0,(H23-$B$14)),(H23-G23))))*24,"")-I23,"")</f>
        <v>8.2833333333333314</v>
      </c>
      <c r="K23" s="425">
        <f t="shared" si="8"/>
        <v>0</v>
      </c>
      <c r="L23" s="431">
        <f>G23-B14</f>
        <v>6.2500000000000333E-3</v>
      </c>
      <c r="M23" s="423">
        <f>(D14/60)*0</f>
        <v>0</v>
      </c>
      <c r="N23" s="427">
        <f>IFERROR(J23*IF(AND(ISNUMBER(SEARCH(TEXT(C23,"ddd"),$G$11)),Data!$F$2),$G$14,$D$14)+K23*$G$14,"")</f>
        <v>557.53205128205116</v>
      </c>
      <c r="O23" s="141">
        <f t="shared" si="3"/>
        <v>557.53205128205116</v>
      </c>
      <c r="P23" s="150"/>
      <c r="Q23" s="89"/>
      <c r="R23" s="96">
        <v>1.0416666666666701E-2</v>
      </c>
    </row>
    <row r="24" spans="2:34">
      <c r="B24" s="432">
        <v>7</v>
      </c>
      <c r="C24" s="429">
        <f t="shared" si="4"/>
        <v>46283</v>
      </c>
      <c r="D24" s="430">
        <f t="shared" si="4"/>
        <v>46283</v>
      </c>
      <c r="E24" s="424">
        <v>0</v>
      </c>
      <c r="F24" s="424">
        <v>0</v>
      </c>
      <c r="G24" s="424">
        <f t="shared" si="9"/>
        <v>0</v>
      </c>
      <c r="H24" s="424">
        <v>0</v>
      </c>
      <c r="I24" s="425">
        <v>0</v>
      </c>
      <c r="J24" s="425">
        <f>IFERROR(IF(AND(G24&lt;&gt;"",H24&lt;&gt;""),IF(G24&gt;$B$14+TIME($C$14,($C$14-INT($C$14))*60,0),0,IF(H24&gt;$B$14+TIME($C$14,($C$14-INT($C$14))*60,0),MIN(TIME($C$14,($C$14-INT($C$14))*60,0),($B$14+TIME($C$14,($C$14-INT($C$14))*60,0)-G24)),MIN(IF((H24-$B$14)&lt;0,0,(H24-$B$14)),(H24-G24))))*24,"")-I24,"")</f>
        <v>0</v>
      </c>
      <c r="K24" s="425">
        <f t="shared" si="8"/>
        <v>0</v>
      </c>
      <c r="L24" s="431">
        <v>0</v>
      </c>
      <c r="M24" s="423">
        <f>(D14/60)*540</f>
        <v>605.76923076923083</v>
      </c>
      <c r="N24" s="427">
        <f>IFERROR(J24*IF(AND(ISNUMBER(SEARCH(TEXT(C24,"ddd"),$G$11)),Data!$F$2),$G$14,$D$14)+K24*$G$14,"")</f>
        <v>0</v>
      </c>
      <c r="O24" s="141">
        <f t="shared" si="3"/>
        <v>605.76923076923083</v>
      </c>
      <c r="P24" s="155"/>
      <c r="Q24" s="89"/>
      <c r="R24" s="129">
        <f>R22-R23</f>
        <v>0.39444444444444432</v>
      </c>
    </row>
    <row r="25" spans="2:34">
      <c r="B25" s="432">
        <v>8</v>
      </c>
      <c r="C25" s="429">
        <f t="shared" si="4"/>
        <v>46284</v>
      </c>
      <c r="D25" s="430">
        <f t="shared" si="4"/>
        <v>46284</v>
      </c>
      <c r="E25" s="424">
        <v>0</v>
      </c>
      <c r="F25" s="424">
        <v>0</v>
      </c>
      <c r="G25" s="424">
        <f t="shared" si="9"/>
        <v>0</v>
      </c>
      <c r="H25" s="424">
        <v>0</v>
      </c>
      <c r="I25" s="425">
        <v>0</v>
      </c>
      <c r="J25" s="425">
        <f t="shared" si="10"/>
        <v>0</v>
      </c>
      <c r="K25" s="425">
        <f t="shared" si="8"/>
        <v>0</v>
      </c>
      <c r="L25" s="431">
        <v>0</v>
      </c>
      <c r="M25" s="423">
        <f>(D14/60)*180</f>
        <v>201.92307692307693</v>
      </c>
      <c r="N25" s="427">
        <f>IFERROR(J25*IF(AND(ISNUMBER(SEARCH(TEXT(C25,"ddd"),$G$11)),Data!$F$2),$G$14,$D$14)+K25*$G$14,"")</f>
        <v>0</v>
      </c>
      <c r="O25" s="141">
        <f t="shared" si="3"/>
        <v>201.92307692307693</v>
      </c>
      <c r="P25" s="89"/>
      <c r="Q25" s="89"/>
    </row>
    <row r="26" spans="2:34">
      <c r="B26" s="432"/>
      <c r="C26" s="429">
        <f t="shared" si="4"/>
        <v>46285</v>
      </c>
      <c r="D26" s="430">
        <f t="shared" si="4"/>
        <v>46285</v>
      </c>
      <c r="E26" s="424">
        <v>0</v>
      </c>
      <c r="F26" s="424">
        <v>0</v>
      </c>
      <c r="G26" s="424">
        <f t="shared" si="9"/>
        <v>0</v>
      </c>
      <c r="H26" s="424">
        <v>0</v>
      </c>
      <c r="I26" s="425">
        <v>0</v>
      </c>
      <c r="J26" s="425">
        <f t="shared" si="7"/>
        <v>0</v>
      </c>
      <c r="K26" s="425">
        <v>0</v>
      </c>
      <c r="L26" s="431">
        <v>0</v>
      </c>
      <c r="M26" s="98">
        <f>(D14/60)*0</f>
        <v>0</v>
      </c>
      <c r="N26" s="251">
        <f>IFERROR(J26*IF(AND(ISNUMBER(SEARCH(TEXT(C26,"ddd"),$G$11)),Data!$F$2),$G$14,$D$14)+K26*$G$14,"")</f>
        <v>0</v>
      </c>
      <c r="O26" s="141">
        <f t="shared" si="3"/>
        <v>0</v>
      </c>
      <c r="P26" s="89"/>
      <c r="Q26" s="89"/>
    </row>
    <row r="27" spans="2:34">
      <c r="B27" s="432">
        <v>9</v>
      </c>
      <c r="C27" s="429">
        <f t="shared" si="4"/>
        <v>46286</v>
      </c>
      <c r="D27" s="430">
        <f t="shared" si="4"/>
        <v>46286</v>
      </c>
      <c r="E27" s="424">
        <v>0.33333333333333331</v>
      </c>
      <c r="F27" s="424">
        <v>0</v>
      </c>
      <c r="G27" s="424">
        <f t="shared" si="9"/>
        <v>0.33333333333333331</v>
      </c>
      <c r="H27" s="424">
        <v>0.70833333333333337</v>
      </c>
      <c r="I27" s="425">
        <v>1</v>
      </c>
      <c r="J27" s="425">
        <f t="shared" si="7"/>
        <v>8.0000000000000018</v>
      </c>
      <c r="K27" s="425">
        <f t="shared" ref="K27:K31" si="11">IF(AND(G27&lt;&gt;"",H27&lt;&gt;""),((IF(G27&lt;$B$14,MIN($B$14-G27,H27-G27),0)+IF(H27&gt;$B$14+TIME($C$14,($C$14-INT($C$14))*60,0),MIN((H27-$B$14-TIME($C$14,($C$14-INT($C$14))*60,0)),(H27-G27)),0))*24),"")</f>
        <v>0</v>
      </c>
      <c r="L27" s="431">
        <v>0</v>
      </c>
      <c r="M27" s="423">
        <f>(D14/60)*0</f>
        <v>0</v>
      </c>
      <c r="N27" s="427">
        <f>IFERROR(J27*IF(AND(ISNUMBER(SEARCH(TEXT(C27,"ddd"),$G$11)),Data!$F$2),$G$14,$D$14)+K27*$G$14,"")</f>
        <v>538.46153846153857</v>
      </c>
      <c r="O27" s="141">
        <f t="shared" si="3"/>
        <v>538.46153846153857</v>
      </c>
      <c r="P27" s="127"/>
      <c r="Q27" s="89"/>
    </row>
    <row r="28" spans="2:34">
      <c r="B28" s="432">
        <v>10</v>
      </c>
      <c r="C28" s="429">
        <f t="shared" si="4"/>
        <v>46287</v>
      </c>
      <c r="D28" s="430">
        <f t="shared" si="4"/>
        <v>46287</v>
      </c>
      <c r="E28" s="424">
        <v>0.33333333333333331</v>
      </c>
      <c r="F28" s="424">
        <v>0</v>
      </c>
      <c r="G28" s="424">
        <f t="shared" si="6"/>
        <v>0.33333333333333331</v>
      </c>
      <c r="H28" s="424">
        <v>0.5</v>
      </c>
      <c r="I28" s="425">
        <v>1</v>
      </c>
      <c r="J28" s="425">
        <f t="shared" si="7"/>
        <v>3</v>
      </c>
      <c r="K28" s="425">
        <f t="shared" si="11"/>
        <v>0</v>
      </c>
      <c r="L28" s="431">
        <v>0</v>
      </c>
      <c r="M28" s="423">
        <f>(D14/60)*0</f>
        <v>0</v>
      </c>
      <c r="N28" s="427">
        <f>IFERROR(J28*IF(AND(ISNUMBER(SEARCH(TEXT(C28,"ddd"),$G$11)),Data!$F$2),$G$14,$D$14)+K28*$G$14,"")</f>
        <v>201.92307692307691</v>
      </c>
      <c r="O28" s="141">
        <f t="shared" si="3"/>
        <v>201.92307692307691</v>
      </c>
      <c r="Q28" s="89"/>
    </row>
    <row r="29" spans="2:34">
      <c r="B29" s="432">
        <v>11</v>
      </c>
      <c r="C29" s="429">
        <f t="shared" si="4"/>
        <v>46288</v>
      </c>
      <c r="D29" s="430">
        <f t="shared" si="4"/>
        <v>46288</v>
      </c>
      <c r="E29" s="424">
        <v>0.33680555555555558</v>
      </c>
      <c r="F29" s="424">
        <v>0</v>
      </c>
      <c r="G29" s="424">
        <f t="shared" si="6"/>
        <v>0.33680555555555558</v>
      </c>
      <c r="H29" s="424">
        <v>0.72638888888888886</v>
      </c>
      <c r="I29" s="425">
        <v>1</v>
      </c>
      <c r="J29" s="425">
        <f t="shared" si="7"/>
        <v>8.3499999999999979</v>
      </c>
      <c r="K29" s="425">
        <f t="shared" si="11"/>
        <v>0</v>
      </c>
      <c r="L29" s="431">
        <f>E29-B14</f>
        <v>3.4722222222222654E-3</v>
      </c>
      <c r="M29" s="423">
        <f>(D14/60)*5</f>
        <v>5.6089743589743595</v>
      </c>
      <c r="N29" s="427">
        <f>IFERROR(J29*IF(AND(ISNUMBER(SEARCH(TEXT(C29,"ddd"),$G$11)),Data!$F$2),$G$14,$D$14)+K29*$G$14,"")</f>
        <v>562.0192307692306</v>
      </c>
      <c r="O29" s="141">
        <f>M29+N29</f>
        <v>567.62820512820497</v>
      </c>
      <c r="P29" s="95">
        <f>O28-O29</f>
        <v>-365.70512820512806</v>
      </c>
      <c r="Q29" s="89"/>
    </row>
    <row r="30" spans="2:34">
      <c r="B30" s="432">
        <v>12</v>
      </c>
      <c r="C30" s="429">
        <f t="shared" si="4"/>
        <v>46289</v>
      </c>
      <c r="D30" s="430">
        <f t="shared" si="4"/>
        <v>46289</v>
      </c>
      <c r="E30" s="424">
        <v>0.33333333333333331</v>
      </c>
      <c r="F30" s="424">
        <v>0</v>
      </c>
      <c r="G30" s="424">
        <f>E30-F30</f>
        <v>0.33333333333333331</v>
      </c>
      <c r="H30" s="424">
        <v>0.73263888888888884</v>
      </c>
      <c r="I30" s="425">
        <v>1</v>
      </c>
      <c r="J30" s="425">
        <f t="shared" si="7"/>
        <v>8.5833333333333321</v>
      </c>
      <c r="K30" s="425">
        <f t="shared" si="11"/>
        <v>0</v>
      </c>
      <c r="L30" s="431">
        <f>G30-B14</f>
        <v>0</v>
      </c>
      <c r="M30" s="423">
        <f>(D14/60)*0</f>
        <v>0</v>
      </c>
      <c r="N30" s="427">
        <f>IFERROR(J30*IF(AND(ISNUMBER(SEARCH(TEXT(C30,"ddd"),$G$11)),Data!$F$2),$G$14,$D$14)+K30*$G$14,"")</f>
        <v>577.72435897435889</v>
      </c>
      <c r="O30" s="141">
        <f t="shared" si="3"/>
        <v>577.72435897435889</v>
      </c>
      <c r="P30" s="127"/>
      <c r="Q30" s="89"/>
    </row>
    <row r="31" spans="2:34">
      <c r="B31" s="432">
        <v>13</v>
      </c>
      <c r="C31" s="429">
        <f t="shared" si="4"/>
        <v>46290</v>
      </c>
      <c r="D31" s="430">
        <f t="shared" si="4"/>
        <v>46290</v>
      </c>
      <c r="E31" s="424">
        <v>0.33333333333333331</v>
      </c>
      <c r="F31" s="424">
        <v>0</v>
      </c>
      <c r="G31" s="424">
        <f>E31-F31</f>
        <v>0.33333333333333331</v>
      </c>
      <c r="H31" s="424">
        <v>0.66666666666666663</v>
      </c>
      <c r="I31" s="425">
        <v>1</v>
      </c>
      <c r="J31" s="425">
        <f t="shared" si="7"/>
        <v>7</v>
      </c>
      <c r="K31" s="425">
        <f t="shared" si="11"/>
        <v>0</v>
      </c>
      <c r="L31" s="431">
        <v>0</v>
      </c>
      <c r="M31" s="423">
        <f>(D14/60)*0</f>
        <v>0</v>
      </c>
      <c r="N31" s="427">
        <f>IFERROR(J31*IF(AND(ISNUMBER(SEARCH(TEXT(C31,"ddd"),$G$11)),Data!$F$2),$G$14,$D$14)+K31*$G$14,"")</f>
        <v>471.15384615384613</v>
      </c>
      <c r="O31" s="141">
        <f>M31+N31</f>
        <v>471.15384615384613</v>
      </c>
      <c r="P31" s="95">
        <f>O28-O31</f>
        <v>-269.23076923076923</v>
      </c>
    </row>
    <row r="32" spans="2:34">
      <c r="B32" s="441"/>
      <c r="C32" s="442"/>
      <c r="D32" s="443"/>
      <c r="E32" s="444"/>
      <c r="F32" s="444"/>
      <c r="G32" s="593" t="s">
        <v>182</v>
      </c>
      <c r="H32" s="594"/>
      <c r="I32" s="445">
        <f>SUM(I17:I31)</f>
        <v>10</v>
      </c>
      <c r="J32" s="445">
        <f>SUM(J17:J31)</f>
        <v>80.633333333333326</v>
      </c>
      <c r="K32" s="445">
        <f>SUM(K17:K31)</f>
        <v>0</v>
      </c>
      <c r="L32" s="446">
        <f>SUM(L17:L31)</f>
        <v>5.3472222222222365E-2</v>
      </c>
      <c r="M32" s="447">
        <f>SUM(M17:M31)</f>
        <v>816.66666666666674</v>
      </c>
      <c r="N32" s="441"/>
      <c r="O32" s="165">
        <f>SUM(O17:O31)</f>
        <v>6243.9102564102559</v>
      </c>
      <c r="P32" s="165">
        <f>SUM(P17:P31)</f>
        <v>-567.62820512820508</v>
      </c>
      <c r="Q32" s="95">
        <f>O32+P32</f>
        <v>5676.2820512820508</v>
      </c>
    </row>
    <row r="33" spans="2:17">
      <c r="B33" s="66"/>
      <c r="C33" s="76"/>
      <c r="D33" s="77"/>
      <c r="E33" s="144"/>
      <c r="F33" s="144"/>
      <c r="G33" s="81" t="s">
        <v>39</v>
      </c>
      <c r="H33" s="82"/>
      <c r="I33" s="83"/>
      <c r="J33" s="84"/>
      <c r="K33" s="116"/>
      <c r="L33" s="102">
        <f>(D14/60)*1118</f>
        <v>1254.1666666666667</v>
      </c>
      <c r="M33" s="118"/>
      <c r="N33" s="166">
        <f>(D14*H14)-N37</f>
        <v>7067.3076923076924</v>
      </c>
      <c r="O33" s="95"/>
      <c r="P33" s="95"/>
      <c r="Q33" s="95"/>
    </row>
    <row r="34" spans="2:17">
      <c r="B34" s="65"/>
      <c r="C34" s="65"/>
      <c r="D34" s="85"/>
      <c r="E34" s="85"/>
      <c r="F34" s="85"/>
      <c r="G34" s="592" t="s">
        <v>183</v>
      </c>
      <c r="H34" s="592"/>
      <c r="I34" s="80"/>
      <c r="J34" s="80">
        <f>H14-J32</f>
        <v>24.366666666666674</v>
      </c>
      <c r="K34" s="65"/>
      <c r="L34" s="120"/>
      <c r="M34" s="65"/>
      <c r="N34" s="121">
        <f>M32</f>
        <v>816.66666666666674</v>
      </c>
      <c r="O34" s="151">
        <f>O32-O33</f>
        <v>6243.9102564102559</v>
      </c>
      <c r="P34" s="95"/>
      <c r="Q34" s="95"/>
    </row>
    <row r="35" spans="2:17">
      <c r="B35" s="65"/>
      <c r="C35" s="65"/>
      <c r="D35" s="85"/>
      <c r="E35" s="145"/>
      <c r="F35" s="145"/>
      <c r="G35" s="78" t="s">
        <v>41</v>
      </c>
      <c r="H35" s="79"/>
      <c r="I35" s="66"/>
      <c r="J35" s="66"/>
      <c r="K35" s="80"/>
      <c r="L35" s="80"/>
      <c r="M35" s="80"/>
      <c r="N35" s="121">
        <f>N33-N34</f>
        <v>6250.6410256410254</v>
      </c>
      <c r="O35" s="95"/>
      <c r="P35" s="95"/>
      <c r="Q35" s="95"/>
    </row>
    <row r="36" spans="2:17">
      <c r="B36" s="65"/>
      <c r="C36" s="65"/>
      <c r="D36" s="85"/>
      <c r="E36" s="146"/>
      <c r="F36" s="146"/>
      <c r="G36" s="604" t="s">
        <v>184</v>
      </c>
      <c r="H36" s="605"/>
      <c r="I36" s="80"/>
      <c r="J36" s="401"/>
      <c r="K36" s="122"/>
      <c r="L36" s="122"/>
      <c r="M36" s="122"/>
      <c r="N36" s="123">
        <f>(K32*G14)</f>
        <v>0</v>
      </c>
      <c r="O36" s="95"/>
    </row>
    <row r="37" spans="2:17">
      <c r="B37" s="65"/>
      <c r="C37" s="65"/>
      <c r="D37" s="85"/>
      <c r="E37" s="146"/>
      <c r="F37" s="146"/>
      <c r="G37" s="86" t="s">
        <v>185</v>
      </c>
      <c r="H37" s="87"/>
      <c r="I37" s="80"/>
      <c r="J37" s="66"/>
      <c r="K37" s="122"/>
      <c r="L37" s="122"/>
      <c r="M37" s="122"/>
      <c r="N37" s="123">
        <v>0</v>
      </c>
      <c r="O37" s="95"/>
    </row>
    <row r="38" spans="2:17">
      <c r="B38" s="65"/>
      <c r="C38" s="65"/>
      <c r="D38" s="85"/>
      <c r="E38" s="145"/>
      <c r="F38" s="145"/>
      <c r="G38" s="597" t="s">
        <v>186</v>
      </c>
      <c r="H38" s="598"/>
      <c r="I38" s="66"/>
      <c r="J38" s="66"/>
      <c r="K38" s="66"/>
      <c r="L38" s="66"/>
      <c r="M38" s="66"/>
      <c r="N38" s="124">
        <f>N35+N36+N37</f>
        <v>6250.6410256410254</v>
      </c>
      <c r="O38" s="95"/>
    </row>
    <row r="39" spans="2:17">
      <c r="D39" s="88"/>
      <c r="E39" s="88"/>
      <c r="F39" s="88"/>
      <c r="G39" s="589"/>
      <c r="H39" s="589"/>
      <c r="I39" s="90"/>
      <c r="J39" s="90"/>
      <c r="K39" s="125"/>
      <c r="L39" s="125"/>
      <c r="M39" s="125"/>
      <c r="N39" s="126"/>
      <c r="O39" s="127"/>
    </row>
    <row r="40" spans="2:17">
      <c r="D40" s="91"/>
      <c r="E40" s="91"/>
      <c r="F40" s="91"/>
      <c r="M40" t="s">
        <v>196</v>
      </c>
    </row>
    <row r="41" spans="2:17">
      <c r="B41" s="590" t="s">
        <v>187</v>
      </c>
      <c r="C41" s="590"/>
      <c r="D41" s="590"/>
      <c r="E41" s="590"/>
      <c r="F41" s="590"/>
      <c r="G41" s="590"/>
      <c r="H41" s="590"/>
      <c r="I41" s="590"/>
      <c r="J41" s="590"/>
      <c r="K41" s="590"/>
      <c r="L41" s="590"/>
      <c r="M41" s="590"/>
      <c r="N41" s="590"/>
    </row>
    <row r="42" spans="2:17">
      <c r="D42" s="91"/>
      <c r="E42" s="91"/>
      <c r="F42" s="91"/>
    </row>
    <row r="43" spans="2:17">
      <c r="D43" s="91" t="s">
        <v>188</v>
      </c>
      <c r="E43" s="91"/>
      <c r="F43" s="91"/>
      <c r="N43" s="95"/>
    </row>
    <row r="44" spans="2:17">
      <c r="D44" s="54" t="s">
        <v>10</v>
      </c>
      <c r="E44" s="54"/>
      <c r="F44" s="54"/>
      <c r="G44" s="54" t="s">
        <v>11</v>
      </c>
      <c r="H44" s="54" t="s">
        <v>12</v>
      </c>
      <c r="I44" s="55" t="s">
        <v>13</v>
      </c>
    </row>
    <row r="45" spans="2:17">
      <c r="D45" s="56">
        <v>2026</v>
      </c>
      <c r="E45" s="56"/>
      <c r="F45" s="56"/>
      <c r="G45" s="56" t="s">
        <v>204</v>
      </c>
      <c r="H45" s="56">
        <v>12</v>
      </c>
      <c r="I45" s="56" t="s">
        <v>15</v>
      </c>
    </row>
    <row r="46" spans="2:17">
      <c r="D46" s="57"/>
      <c r="E46" s="57"/>
      <c r="F46" s="57"/>
      <c r="G46" s="57"/>
    </row>
    <row r="47" spans="2:17" ht="33.75">
      <c r="D47" s="159" t="s">
        <v>16</v>
      </c>
      <c r="E47" s="159"/>
      <c r="F47" s="159"/>
      <c r="G47" s="159" t="s">
        <v>17</v>
      </c>
      <c r="H47" s="159" t="s">
        <v>18</v>
      </c>
      <c r="I47" s="159" t="s">
        <v>19</v>
      </c>
    </row>
    <row r="48" spans="2:17">
      <c r="D48" s="61">
        <v>0.33333333333333298</v>
      </c>
      <c r="E48" s="61"/>
      <c r="F48" s="61"/>
      <c r="G48" s="62">
        <v>10</v>
      </c>
      <c r="H48" s="63">
        <f>D14</f>
        <v>67.307692307692307</v>
      </c>
      <c r="I48" s="130">
        <f>(H48*30%)+H48</f>
        <v>87.5</v>
      </c>
    </row>
    <row r="50" spans="3:14">
      <c r="C50" s="131" t="s">
        <v>20</v>
      </c>
      <c r="D50" s="131" t="s">
        <v>12</v>
      </c>
      <c r="E50" s="131"/>
      <c r="F50" s="131"/>
      <c r="G50" s="131" t="s">
        <v>21</v>
      </c>
      <c r="H50" s="131" t="s">
        <v>22</v>
      </c>
      <c r="I50" s="131" t="s">
        <v>23</v>
      </c>
      <c r="J50" s="131" t="s">
        <v>24</v>
      </c>
      <c r="K50" s="131" t="s">
        <v>25</v>
      </c>
      <c r="L50" s="131"/>
      <c r="M50" s="131"/>
      <c r="N50" s="131" t="s">
        <v>26</v>
      </c>
    </row>
    <row r="51" spans="3:14">
      <c r="C51" s="70" t="s">
        <v>353</v>
      </c>
      <c r="D51" s="71">
        <f>DATE($B$11,MATCH($G$45,Data!$B$2:$B$13,0),PAALAN!$H$45)</f>
        <v>46185</v>
      </c>
      <c r="E51" s="71"/>
      <c r="F51" s="71"/>
      <c r="G51" s="72">
        <v>0.33333333333333331</v>
      </c>
      <c r="H51" s="72">
        <v>0.75</v>
      </c>
      <c r="I51" s="73">
        <v>1</v>
      </c>
      <c r="J51" s="73">
        <f>IFERROR(IF(AND(G51&lt;&gt;"",H51&lt;&gt;""),IF(G51&gt;$B$14+TIME($C$14,($C$14-INT($C$14))*60,0),0,IF(H51&gt;$B$14+TIME($C$14,($C$14-INT($C$14))*60,0),MIN(TIME($C$14,($C$14-INT($C$14))*60,0),($B$14+TIME($C$14,($C$14-INT($C$14))*60,0)-G51)),MIN(IF((H51-$B$14)&lt;0,0,(H51-$B$14)),(H51-G51))))*24,"")-I51,"")</f>
        <v>9</v>
      </c>
      <c r="K51" s="73">
        <f>IF(AND(G51&lt;&gt;"",H51&lt;&gt;""),((IF(G51&lt;$D$48,MIN($D$48-G51,H51-G51),0)+IF(H51&gt;$D$48+TIME($G$48,($G$48-INT($G$48))*60,0),MIN((H51-$D$48-TIME($G$48,($G$48-INT($G$48))*60,0)),(H51-G51)),0))*24),"")</f>
        <v>0</v>
      </c>
      <c r="L51" s="73"/>
      <c r="M51" s="73"/>
      <c r="N51" s="99">
        <f>(J51*H48)</f>
        <v>605.76923076923072</v>
      </c>
    </row>
    <row r="52" spans="3:14">
      <c r="C52" s="70" t="s">
        <v>445</v>
      </c>
      <c r="D52" s="71">
        <v>23</v>
      </c>
      <c r="E52" s="71"/>
      <c r="F52" s="71"/>
      <c r="G52" s="72">
        <v>0</v>
      </c>
      <c r="H52" s="72">
        <v>0</v>
      </c>
      <c r="I52" s="73">
        <v>0</v>
      </c>
      <c r="J52" s="73">
        <f>IFERROR(IF(AND(G52&lt;&gt;"",H52&lt;&gt;""),IF(G52&gt;$B$14+TIME($C$14,($C$14-INT($C$14))*60,0),0,IF(H52&gt;$B$14+TIME($C$14,($C$14-INT($C$14))*60,0),MIN(TIME($C$14,($C$14-INT($C$14))*60,0),($B$14+TIME($C$14,($C$14-INT($C$14))*60,0)-G52)),MIN(IF((H52-$B$14)&lt;0,0,(H52-$B$14)),(H52-G52))))*24,"")-I52,"")</f>
        <v>0</v>
      </c>
      <c r="K52" s="73">
        <f>IF(AND(G52&lt;&gt;"",H52&lt;&gt;""),((IF(G52&lt;$D$48,MIN($D$48-G52,H52-G52),0)+IF(H52&gt;$D$48+TIME($G$48,($G$48-INT($G$48))*60,0),MIN((H52-$D$48-TIME($G$48,($G$48-INT($G$48))*60,0)),(H52-G52)),0))*24),"")</f>
        <v>0</v>
      </c>
      <c r="L52" s="73"/>
      <c r="M52" s="73"/>
      <c r="N52" s="99">
        <v>0</v>
      </c>
    </row>
    <row r="53" spans="3:14"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318">
        <f>SUM(N51:N52)</f>
        <v>605.76923076923072</v>
      </c>
    </row>
    <row r="54" spans="3:14">
      <c r="N54" s="324"/>
    </row>
    <row r="55" spans="3:14">
      <c r="N55" s="324"/>
    </row>
    <row r="56" spans="3:14">
      <c r="N56" s="138"/>
    </row>
    <row r="57" spans="3:14">
      <c r="N57" s="138"/>
    </row>
    <row r="58" spans="3:14">
      <c r="C58" s="132" t="s">
        <v>190</v>
      </c>
      <c r="D58" s="132"/>
      <c r="N58" s="138"/>
    </row>
    <row r="59" spans="3:14">
      <c r="N59" s="138"/>
    </row>
    <row r="60" spans="3:14">
      <c r="C60" s="591">
        <v>44981</v>
      </c>
      <c r="D60" s="591"/>
      <c r="E60" s="591"/>
      <c r="F60" s="88"/>
      <c r="G60" s="148" t="s">
        <v>280</v>
      </c>
      <c r="H60" s="254"/>
      <c r="N60" s="138"/>
    </row>
    <row r="61" spans="3:14">
      <c r="D61" s="88"/>
      <c r="E61" s="88"/>
      <c r="F61" s="256">
        <f>F60*G61</f>
        <v>0</v>
      </c>
      <c r="G61" s="253">
        <v>0.3</v>
      </c>
      <c r="H61" s="254"/>
      <c r="N61" s="138"/>
    </row>
    <row r="62" spans="3:14">
      <c r="D62" s="91"/>
      <c r="E62" s="91"/>
      <c r="F62" s="91"/>
      <c r="N62" s="138"/>
    </row>
    <row r="63" spans="3:14">
      <c r="D63" s="91"/>
      <c r="E63" s="91"/>
      <c r="F63" s="91"/>
      <c r="G63" s="257">
        <f>F61</f>
        <v>0</v>
      </c>
      <c r="N63" s="138"/>
    </row>
    <row r="64" spans="3:14">
      <c r="D64" s="132"/>
      <c r="E64" s="132"/>
      <c r="F64" s="132"/>
      <c r="G64" s="133"/>
      <c r="H64" s="133"/>
      <c r="I64" s="133"/>
    </row>
    <row r="65" spans="3:9">
      <c r="D65" s="132"/>
      <c r="E65" s="132"/>
      <c r="F65" s="132"/>
      <c r="G65" s="133"/>
      <c r="H65" s="133"/>
      <c r="I65" s="133"/>
    </row>
    <row r="66" spans="3:9">
      <c r="F66" s="132"/>
      <c r="G66" s="133"/>
      <c r="H66" s="133"/>
      <c r="I66" s="133"/>
    </row>
    <row r="67" spans="3:9">
      <c r="G67" s="606"/>
      <c r="H67" s="606"/>
    </row>
    <row r="70" spans="3:9">
      <c r="C70" s="91" t="s">
        <v>141</v>
      </c>
    </row>
    <row r="71" spans="3:9">
      <c r="C71" t="s">
        <v>66</v>
      </c>
    </row>
    <row r="72" spans="3:9">
      <c r="C72" s="91"/>
    </row>
  </sheetData>
  <mergeCells count="13">
    <mergeCell ref="G67:H67"/>
    <mergeCell ref="G34:H34"/>
    <mergeCell ref="G36:H36"/>
    <mergeCell ref="G38:H38"/>
    <mergeCell ref="G39:H39"/>
    <mergeCell ref="B41:N41"/>
    <mergeCell ref="C60:E60"/>
    <mergeCell ref="G32:H32"/>
    <mergeCell ref="A6:N6"/>
    <mergeCell ref="C7:D7"/>
    <mergeCell ref="M7:O7"/>
    <mergeCell ref="C8:D8"/>
    <mergeCell ref="M8:O8"/>
  </mergeCells>
  <conditionalFormatting sqref="C17:D17">
    <cfRule type="expression" dxfId="186" priority="135">
      <formula>ISNUMBER(SEARCH(TEXT($B17,"ddd"),$F$10))</formula>
    </cfRule>
  </conditionalFormatting>
  <conditionalFormatting sqref="C18:D31">
    <cfRule type="expression" dxfId="185" priority="137">
      <formula>ISNUMBER(SEARCH(TEXT($C18,"ddd"),$G$11))</formula>
    </cfRule>
  </conditionalFormatting>
  <conditionalFormatting sqref="C51:N52">
    <cfRule type="expression" dxfId="184" priority="1">
      <formula>ISNUMBER(SEARCH(TEXT($C51,"ddd"),$G$11))</formula>
    </cfRule>
  </conditionalFormatting>
  <conditionalFormatting sqref="E17:L31">
    <cfRule type="expression" dxfId="183" priority="2">
      <formula>ISNUMBER(SEARCH(TEXT($C17,"ddd"),$G$11))</formula>
    </cfRule>
  </conditionalFormatting>
  <conditionalFormatting sqref="N17:N31">
    <cfRule type="expression" dxfId="182" priority="136">
      <formula>ISNUMBER(SEARCH(TEXT($B17,"ddd"),$F$10))</formula>
    </cfRule>
  </conditionalFormatting>
  <dataValidations count="5">
    <dataValidation type="list" allowBlank="1" showInputMessage="1" showErrorMessage="1" sqref="D11 H45" xr:uid="{00000000-0002-0000-1D00-000000000000}">
      <formula1>DateCalc</formula1>
    </dataValidation>
    <dataValidation type="custom" allowBlank="1" showInputMessage="1" showErrorMessage="1" sqref="H51:H52 H17:H31" xr:uid="{00000000-0002-0000-1D00-000001000000}">
      <formula1>AND($H17&lt;=1,ISNUMBER($H17),($H17&gt;=$G17))</formula1>
    </dataValidation>
    <dataValidation type="custom" allowBlank="1" showInputMessage="1" showErrorMessage="1" sqref="G51:G52 E17:G31" xr:uid="{00000000-0002-0000-1D00-000002000000}">
      <formula1>AND($G17&lt;=1,ISNUMBER($G17))</formula1>
    </dataValidation>
    <dataValidation type="list" allowBlank="1" showInputMessage="1" showErrorMessage="1" sqref="E11:F11" xr:uid="{00000000-0002-0000-1D00-000003000000}">
      <formula1>'DELA CRUZ'!DateCalc</formula1>
    </dataValidation>
    <dataValidation type="list" allowBlank="1" showInputMessage="1" showErrorMessage="1" sqref="G11" xr:uid="{00000000-0002-0000-1D00-000007000000}"/>
  </dataValidations>
  <pageMargins left="1.07083333333333" right="0.25" top="0.359722222222222" bottom="0.39791666666666697" header="0.29861111111111099" footer="0.29861111111111099"/>
  <pageSetup paperSize="9" scale="91" orientation="landscape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47137" r:id="rId4" name="Check Box 1">
              <controlPr defaultSize="0" print="0" autoPict="0">
                <anchor moveWithCells="1">
                  <from>
                    <xdr:col>7</xdr:col>
                    <xdr:colOff>180975</xdr:colOff>
                    <xdr:row>9</xdr:row>
                    <xdr:rowOff>28575</xdr:rowOff>
                  </from>
                  <to>
                    <xdr:col>8</xdr:col>
                    <xdr:colOff>571500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D00-000004000000}">
          <x14:formula1>
            <xm:f>Data!$D$2:$D$16</xm:f>
          </x14:formula1>
          <xm:sqref>I45</xm:sqref>
        </x14:dataValidation>
        <x14:dataValidation type="list" allowBlank="1" showInputMessage="1" showErrorMessage="1" xr:uid="{00000000-0002-0000-1D00-000005000000}">
          <x14:formula1>
            <xm:f>Data!$A$2:$A$15</xm:f>
          </x14:formula1>
          <xm:sqref>B11 D45:F45</xm:sqref>
        </x14:dataValidation>
        <x14:dataValidation type="list" allowBlank="1" showInputMessage="1" showErrorMessage="1" xr:uid="{00000000-0002-0000-1D00-000006000000}">
          <x14:formula1>
            <xm:f>Data!$B$2:$B$13</xm:f>
          </x14:formula1>
          <xm:sqref>C11 G45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5:AH72"/>
  <sheetViews>
    <sheetView showGridLines="0" showWhiteSpace="0" view="pageLayout" topLeftCell="A14" zoomScale="120" zoomScaleNormal="100" zoomScalePageLayoutView="120" workbookViewId="0">
      <selection activeCell="D14" sqref="D14"/>
    </sheetView>
  </sheetViews>
  <sheetFormatPr defaultColWidth="9" defaultRowHeight="12.75"/>
  <cols>
    <col min="1" max="1" width="1.625" customWidth="1"/>
    <col min="2" max="2" width="5.375" customWidth="1"/>
    <col min="3" max="3" width="7.125" customWidth="1"/>
    <col min="4" max="6" width="7.625" customWidth="1"/>
    <col min="7" max="7" width="10.125" customWidth="1"/>
    <col min="8" max="8" width="9.625" customWidth="1"/>
    <col min="9" max="9" width="8.125" customWidth="1"/>
    <col min="10" max="10" width="10.125" customWidth="1"/>
    <col min="11" max="11" width="7.875" customWidth="1"/>
    <col min="12" max="12" width="9.625" customWidth="1"/>
    <col min="13" max="13" width="10.875" customWidth="1"/>
    <col min="14" max="14" width="13.5" customWidth="1"/>
    <col min="15" max="15" width="16.875" customWidth="1"/>
    <col min="18" max="18" width="11.125" customWidth="1"/>
  </cols>
  <sheetData>
    <row r="5" spans="1:21" ht="25.5" customHeight="1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21" s="47" customFormat="1" ht="25.5" customHeight="1">
      <c r="A6" s="603"/>
      <c r="B6" s="603"/>
      <c r="C6" s="603"/>
      <c r="D6" s="603"/>
      <c r="E6" s="603"/>
      <c r="F6" s="603"/>
      <c r="G6" s="603"/>
      <c r="H6" s="603"/>
      <c r="I6" s="603"/>
      <c r="J6" s="603"/>
      <c r="K6" s="603"/>
      <c r="L6" s="603"/>
      <c r="M6" s="603"/>
      <c r="N6" s="603"/>
    </row>
    <row r="7" spans="1:21" ht="18.75" customHeight="1">
      <c r="C7" s="527" t="s">
        <v>3</v>
      </c>
      <c r="D7" s="527"/>
      <c r="E7" s="49"/>
      <c r="F7" s="49"/>
      <c r="G7" s="50" t="s">
        <v>356</v>
      </c>
      <c r="H7" s="51"/>
      <c r="K7" s="49" t="s">
        <v>174</v>
      </c>
      <c r="M7" s="599" t="str">
        <f>PAALAN!L7</f>
        <v>September  11-25, 2026</v>
      </c>
      <c r="N7" s="599"/>
      <c r="O7" s="599"/>
    </row>
    <row r="8" spans="1:21" ht="18.75" customHeight="1">
      <c r="C8" s="527" t="s">
        <v>175</v>
      </c>
      <c r="D8" s="527"/>
      <c r="E8" s="49"/>
      <c r="F8" s="49"/>
      <c r="G8" s="50" t="s">
        <v>454</v>
      </c>
      <c r="H8" s="51"/>
      <c r="K8" s="49" t="s">
        <v>176</v>
      </c>
      <c r="L8" s="92"/>
      <c r="M8" s="600" t="str">
        <f>PAALAN!L8</f>
        <v>9/31/2026</v>
      </c>
      <c r="N8" s="600"/>
      <c r="O8" s="600"/>
    </row>
    <row r="9" spans="1:21">
      <c r="C9" s="52"/>
      <c r="D9" s="53"/>
      <c r="E9" s="53"/>
      <c r="F9" s="53"/>
      <c r="G9" s="53"/>
    </row>
    <row r="10" spans="1:21">
      <c r="B10" s="54" t="s">
        <v>10</v>
      </c>
      <c r="C10" s="54" t="s">
        <v>11</v>
      </c>
      <c r="D10" s="54" t="s">
        <v>12</v>
      </c>
      <c r="E10" s="54"/>
      <c r="F10" s="54"/>
      <c r="G10" s="55" t="s">
        <v>13</v>
      </c>
    </row>
    <row r="11" spans="1:21">
      <c r="B11" s="56">
        <v>2026</v>
      </c>
      <c r="C11" s="56" t="s">
        <v>177</v>
      </c>
      <c r="D11" s="56">
        <v>11</v>
      </c>
      <c r="E11" s="56"/>
      <c r="F11" s="56"/>
      <c r="G11" s="56" t="s">
        <v>178</v>
      </c>
    </row>
    <row r="12" spans="1:21">
      <c r="B12" s="57"/>
      <c r="C12" s="57"/>
      <c r="H12" s="57"/>
      <c r="K12" s="57"/>
      <c r="L12" s="57"/>
      <c r="M12" s="57"/>
    </row>
    <row r="13" spans="1:21" ht="32.1" customHeight="1">
      <c r="B13" s="159" t="s">
        <v>16</v>
      </c>
      <c r="C13" s="159" t="s">
        <v>17</v>
      </c>
      <c r="D13" s="159" t="s">
        <v>18</v>
      </c>
      <c r="E13" s="160"/>
      <c r="F13" s="160"/>
      <c r="G13" s="160" t="s">
        <v>19</v>
      </c>
      <c r="H13" s="161" t="s">
        <v>179</v>
      </c>
      <c r="L13" s="93"/>
      <c r="M13" s="93"/>
      <c r="N13" s="94"/>
      <c r="O13" s="159" t="s">
        <v>16</v>
      </c>
      <c r="P13" s="159" t="s">
        <v>17</v>
      </c>
      <c r="Q13" s="159" t="s">
        <v>18</v>
      </c>
      <c r="R13" s="160"/>
      <c r="S13" s="160"/>
      <c r="T13" s="160" t="s">
        <v>19</v>
      </c>
      <c r="U13" s="161" t="s">
        <v>179</v>
      </c>
    </row>
    <row r="14" spans="1:21">
      <c r="B14" s="61">
        <v>0.33333333333333331</v>
      </c>
      <c r="C14" s="62">
        <v>10</v>
      </c>
      <c r="D14" s="63">
        <f>(20403.24/26)/8</f>
        <v>98.092500000000001</v>
      </c>
      <c r="E14" s="142"/>
      <c r="F14" s="142"/>
      <c r="G14" s="64">
        <f>(D14*25%)+D14</f>
        <v>122.61562499999999</v>
      </c>
      <c r="H14" s="65">
        <v>104</v>
      </c>
      <c r="I14" s="95"/>
      <c r="L14" s="57"/>
      <c r="M14" s="57"/>
      <c r="N14" s="95"/>
      <c r="O14" s="61">
        <v>0.375</v>
      </c>
      <c r="P14" s="62">
        <v>3</v>
      </c>
      <c r="Q14" s="63">
        <f>(14427.92/26)/8</f>
        <v>69.364999999999995</v>
      </c>
      <c r="R14" s="142"/>
      <c r="S14" s="142"/>
      <c r="T14" s="64">
        <f>(Q14*25%)+Q14</f>
        <v>86.706249999999997</v>
      </c>
      <c r="U14" s="65">
        <v>99</v>
      </c>
    </row>
    <row r="15" spans="1:21">
      <c r="H15" s="65"/>
      <c r="N15" s="96"/>
    </row>
    <row r="16" spans="1:21" ht="23.25">
      <c r="B16" s="66"/>
      <c r="C16" s="67" t="s">
        <v>20</v>
      </c>
      <c r="D16" s="67" t="s">
        <v>12</v>
      </c>
      <c r="E16" s="67"/>
      <c r="F16" s="67"/>
      <c r="G16" s="67" t="s">
        <v>21</v>
      </c>
      <c r="H16" s="67" t="s">
        <v>22</v>
      </c>
      <c r="I16" s="68" t="s">
        <v>23</v>
      </c>
      <c r="J16" s="68" t="s">
        <v>24</v>
      </c>
      <c r="K16" s="68" t="s">
        <v>25</v>
      </c>
      <c r="L16" s="67" t="s">
        <v>180</v>
      </c>
      <c r="M16" s="134" t="s">
        <v>181</v>
      </c>
      <c r="N16" s="67" t="s">
        <v>26</v>
      </c>
    </row>
    <row r="17" spans="2:34">
      <c r="B17" s="432">
        <v>1</v>
      </c>
      <c r="C17" s="429">
        <f>DATE($B$11,MATCH($C$11,Data!$B$2:$B$13,0),MACATANGAY!$D$11)</f>
        <v>46276</v>
      </c>
      <c r="D17" s="430">
        <f>DATE($B$11,MATCH($C$11,Data!$B$2:$B$13,0),MACATANGAY!$D$11)</f>
        <v>46276</v>
      </c>
      <c r="E17" s="424">
        <v>0.33333333333333331</v>
      </c>
      <c r="F17" s="424">
        <v>0</v>
      </c>
      <c r="G17" s="424">
        <f t="shared" ref="G17:G29" si="0">E17-F17</f>
        <v>0.33333333333333331</v>
      </c>
      <c r="H17" s="424">
        <v>0.75</v>
      </c>
      <c r="I17" s="425">
        <v>1</v>
      </c>
      <c r="J17" s="425">
        <f t="shared" ref="J17:J31" si="1">IFERROR(IF(AND(G17&lt;&gt;"",H17&lt;&gt;""),IF(G17&gt;$B$14+TIME($C$14,($C$14-INT($C$14))*60,0),0,IF(H17&gt;$B$14+TIME($C$14,($C$14-INT($C$14))*60,0),MIN(TIME($C$14,($C$14-INT($C$14))*60,0),($B$14+TIME($C$14,($C$14-INT($C$14))*60,0)-G17)),MIN(IF((H17-$B$14)&lt;0,0,(H17-$B$14)),(H17-G17))))*24,"")-I17,"")</f>
        <v>9</v>
      </c>
      <c r="K17" s="425">
        <f t="shared" ref="K17:K31" si="2">IF(AND(G17&lt;&gt;"",H17&lt;&gt;""),((IF(G17&lt;$B$14,MIN($B$14-G17,H17-G17),0)+IF(H17&gt;$B$14+TIME($C$14,($C$14-INT($C$14))*60,0),MIN((H17-$B$14-TIME($C$14,($C$14-INT($C$14))*60,0)),(H17-G17)),0))*24),"")</f>
        <v>0</v>
      </c>
      <c r="L17" s="431">
        <f>E17-B14</f>
        <v>0</v>
      </c>
      <c r="M17" s="423">
        <f>(D14/60)*0</f>
        <v>0</v>
      </c>
      <c r="N17" s="427">
        <f>IFERROR(J17*IF(AND(ISNUMBER(SEARCH(TEXT(C17,"ddd"),$G$11)),Data!$F$2),$G$14,$D$14)+K17*$G$14,"")</f>
        <v>882.83249999999998</v>
      </c>
      <c r="O17" s="141">
        <f t="shared" ref="O17:O30" si="3">M17+N17</f>
        <v>882.83249999999998</v>
      </c>
      <c r="P17" s="100"/>
      <c r="Q17" s="89"/>
    </row>
    <row r="18" spans="2:34">
      <c r="B18" s="432">
        <v>2</v>
      </c>
      <c r="C18" s="429">
        <f t="shared" ref="C18:D31" si="4">C17+1</f>
        <v>46277</v>
      </c>
      <c r="D18" s="430">
        <f t="shared" si="4"/>
        <v>46277</v>
      </c>
      <c r="E18" s="424">
        <v>0.33333333333333331</v>
      </c>
      <c r="F18" s="424">
        <v>0</v>
      </c>
      <c r="G18" s="424">
        <f t="shared" si="0"/>
        <v>0.33333333333333331</v>
      </c>
      <c r="H18" s="424">
        <v>0.5</v>
      </c>
      <c r="I18" s="425">
        <v>0</v>
      </c>
      <c r="J18" s="425">
        <f t="shared" si="1"/>
        <v>4</v>
      </c>
      <c r="K18" s="425">
        <f t="shared" si="2"/>
        <v>0</v>
      </c>
      <c r="L18" s="431">
        <v>0</v>
      </c>
      <c r="M18" s="423">
        <f>(D14/60)*0</f>
        <v>0</v>
      </c>
      <c r="N18" s="427">
        <f>IFERROR(J18*IF(AND(ISNUMBER(SEARCH(TEXT(C18,"ddd"),$G$11)),Data!$F$2),$G$14,$D$14)+K18*$G$14,"")</f>
        <v>392.37</v>
      </c>
      <c r="O18" s="141">
        <f t="shared" si="3"/>
        <v>392.37</v>
      </c>
      <c r="P18" s="89"/>
      <c r="Q18" s="89"/>
    </row>
    <row r="19" spans="2:34">
      <c r="B19" s="432"/>
      <c r="C19" s="429">
        <f t="shared" si="4"/>
        <v>46278</v>
      </c>
      <c r="D19" s="430">
        <f t="shared" si="4"/>
        <v>46278</v>
      </c>
      <c r="E19" s="424">
        <v>0</v>
      </c>
      <c r="F19" s="424">
        <v>0</v>
      </c>
      <c r="G19" s="424">
        <f t="shared" si="0"/>
        <v>0</v>
      </c>
      <c r="H19" s="424">
        <v>0</v>
      </c>
      <c r="I19" s="425">
        <v>0</v>
      </c>
      <c r="J19" s="425">
        <f t="shared" si="1"/>
        <v>0</v>
      </c>
      <c r="K19" s="425">
        <f t="shared" si="2"/>
        <v>0</v>
      </c>
      <c r="L19" s="431">
        <v>0</v>
      </c>
      <c r="M19" s="98">
        <f>(D14/60)*0</f>
        <v>0</v>
      </c>
      <c r="N19" s="251">
        <f>IFERROR(J19*IF(AND(ISNUMBER(SEARCH(TEXT(C19,"ddd"),$G$11)),Data!$F$2),$G$14,$D$14)+K19*$G$14,"")</f>
        <v>0</v>
      </c>
      <c r="O19" s="141">
        <f t="shared" si="3"/>
        <v>0</v>
      </c>
      <c r="P19" s="100"/>
      <c r="Q19" s="104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</row>
    <row r="20" spans="2:34">
      <c r="B20" s="432">
        <v>3</v>
      </c>
      <c r="C20" s="429">
        <f t="shared" si="4"/>
        <v>46279</v>
      </c>
      <c r="D20" s="430">
        <f t="shared" si="4"/>
        <v>46279</v>
      </c>
      <c r="E20" s="424">
        <v>0.33333333333333331</v>
      </c>
      <c r="F20" s="424">
        <v>0</v>
      </c>
      <c r="G20" s="424">
        <f t="shared" si="0"/>
        <v>0.33333333333333331</v>
      </c>
      <c r="H20" s="424">
        <v>0.75</v>
      </c>
      <c r="I20" s="425">
        <v>1</v>
      </c>
      <c r="J20" s="425">
        <f t="shared" si="1"/>
        <v>9</v>
      </c>
      <c r="K20" s="425">
        <f t="shared" si="2"/>
        <v>0</v>
      </c>
      <c r="L20" s="431">
        <f>G20-B14</f>
        <v>0</v>
      </c>
      <c r="M20" s="423">
        <f>(D14/60)*0</f>
        <v>0</v>
      </c>
      <c r="N20" s="427">
        <f>IFERROR(J20*IF(AND(ISNUMBER(SEARCH(TEXT(C20,"ddd"),$G$11)),Data!$F$2),$G$14,$D$14)+K20*$G$14,"")</f>
        <v>882.83249999999998</v>
      </c>
      <c r="O20" s="141">
        <f t="shared" si="3"/>
        <v>882.83249999999998</v>
      </c>
      <c r="P20" s="103"/>
      <c r="Q20" s="103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28"/>
    </row>
    <row r="21" spans="2:34">
      <c r="B21" s="432">
        <v>4</v>
      </c>
      <c r="C21" s="429">
        <f t="shared" si="4"/>
        <v>46280</v>
      </c>
      <c r="D21" s="430">
        <f t="shared" si="4"/>
        <v>46280</v>
      </c>
      <c r="E21" s="424">
        <v>0.33333333333333331</v>
      </c>
      <c r="F21" s="424">
        <v>0</v>
      </c>
      <c r="G21" s="424">
        <f t="shared" si="0"/>
        <v>0.33333333333333331</v>
      </c>
      <c r="H21" s="424">
        <v>0.70833333333333337</v>
      </c>
      <c r="I21" s="425">
        <v>1</v>
      </c>
      <c r="J21" s="425">
        <f t="shared" si="1"/>
        <v>8.0000000000000018</v>
      </c>
      <c r="K21" s="425">
        <f t="shared" si="2"/>
        <v>0</v>
      </c>
      <c r="L21" s="431">
        <f>E21-B14</f>
        <v>0</v>
      </c>
      <c r="M21" s="423">
        <f>(D14/60)*0</f>
        <v>0</v>
      </c>
      <c r="N21" s="427">
        <f>IFERROR(J21*IF(AND(ISNUMBER(SEARCH(TEXT(C21,"ddd"),$G$11)),Data!$F$2),$G$14,$D$14)+K21*$G$14,"")</f>
        <v>784.74000000000024</v>
      </c>
      <c r="O21" s="141">
        <f t="shared" si="3"/>
        <v>784.74000000000024</v>
      </c>
      <c r="P21" s="162"/>
      <c r="Q21" s="108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4"/>
    </row>
    <row r="22" spans="2:34">
      <c r="B22" s="432">
        <v>5</v>
      </c>
      <c r="C22" s="429">
        <f t="shared" si="4"/>
        <v>46281</v>
      </c>
      <c r="D22" s="430">
        <f t="shared" si="4"/>
        <v>46281</v>
      </c>
      <c r="E22" s="424">
        <v>0.35486111111111113</v>
      </c>
      <c r="F22" s="424">
        <v>0</v>
      </c>
      <c r="G22" s="424">
        <f t="shared" si="0"/>
        <v>0.35486111111111113</v>
      </c>
      <c r="H22" s="424">
        <v>0.75</v>
      </c>
      <c r="I22" s="425">
        <v>1</v>
      </c>
      <c r="J22" s="425">
        <f t="shared" si="1"/>
        <v>8.4833333333333325</v>
      </c>
      <c r="K22" s="425">
        <f t="shared" si="2"/>
        <v>0</v>
      </c>
      <c r="L22" s="431">
        <f>E22-B14</f>
        <v>2.1527777777777812E-2</v>
      </c>
      <c r="M22" s="423">
        <f>(D14/60)*0</f>
        <v>0</v>
      </c>
      <c r="N22" s="427">
        <f>IFERROR(J22*IF(AND(ISNUMBER(SEARCH(TEXT(C22,"ddd"),$G$11)),Data!$F$2),$G$14,$D$14)+K22*$G$14,"")</f>
        <v>832.15137499999992</v>
      </c>
      <c r="O22" s="141">
        <f t="shared" si="3"/>
        <v>832.15137499999992</v>
      </c>
      <c r="P22" s="163">
        <f>O21-O22</f>
        <v>-47.41137499999968</v>
      </c>
      <c r="Q22" s="135"/>
      <c r="R22" s="96">
        <v>0.40486111111111101</v>
      </c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4"/>
    </row>
    <row r="23" spans="2:34">
      <c r="B23" s="432">
        <v>6</v>
      </c>
      <c r="C23" s="429">
        <f t="shared" si="4"/>
        <v>46282</v>
      </c>
      <c r="D23" s="430">
        <f t="shared" si="4"/>
        <v>46282</v>
      </c>
      <c r="E23" s="424">
        <v>0.35138888888888886</v>
      </c>
      <c r="F23" s="424">
        <v>0</v>
      </c>
      <c r="G23" s="424">
        <f t="shared" si="0"/>
        <v>0.35138888888888886</v>
      </c>
      <c r="H23" s="424">
        <v>0.75</v>
      </c>
      <c r="I23" s="425">
        <v>1</v>
      </c>
      <c r="J23" s="425">
        <f t="shared" si="1"/>
        <v>8.5666666666666664</v>
      </c>
      <c r="K23" s="425">
        <f t="shared" si="2"/>
        <v>0</v>
      </c>
      <c r="L23" s="431">
        <f>E23-B14</f>
        <v>1.8055555555555547E-2</v>
      </c>
      <c r="M23" s="423">
        <f>(D14/60)*0</f>
        <v>0</v>
      </c>
      <c r="N23" s="427">
        <f>IFERROR(J23*IF(AND(ISNUMBER(SEARCH(TEXT(C23,"ddd"),$G$11)),Data!$F$2),$G$14,$D$14)+K23*$G$14,"")</f>
        <v>840.32574999999997</v>
      </c>
      <c r="O23" s="141">
        <f t="shared" si="3"/>
        <v>840.32574999999997</v>
      </c>
      <c r="P23" s="150"/>
      <c r="Q23" s="89"/>
      <c r="R23" s="96">
        <v>1.0416666666666701E-2</v>
      </c>
    </row>
    <row r="24" spans="2:34">
      <c r="B24" s="432">
        <v>7</v>
      </c>
      <c r="C24" s="429">
        <f t="shared" si="4"/>
        <v>46283</v>
      </c>
      <c r="D24" s="430">
        <f t="shared" si="4"/>
        <v>46283</v>
      </c>
      <c r="E24" s="424">
        <v>0.34097222222222223</v>
      </c>
      <c r="F24" s="424">
        <v>0</v>
      </c>
      <c r="G24" s="424">
        <f t="shared" si="0"/>
        <v>0.34097222222222223</v>
      </c>
      <c r="H24" s="424">
        <v>0.75</v>
      </c>
      <c r="I24" s="425">
        <v>1</v>
      </c>
      <c r="J24" s="425">
        <f t="shared" si="1"/>
        <v>8.8166666666666664</v>
      </c>
      <c r="K24" s="425">
        <f t="shared" si="2"/>
        <v>0</v>
      </c>
      <c r="L24" s="431">
        <f>G24-B14</f>
        <v>7.6388888888889173E-3</v>
      </c>
      <c r="M24" s="423">
        <f>(D14/60)*0</f>
        <v>0</v>
      </c>
      <c r="N24" s="427">
        <f>IFERROR(J24*IF(AND(ISNUMBER(SEARCH(TEXT(C24,"ddd"),$G$11)),Data!$F$2),$G$14,$D$14)+K24*$G$14,"")</f>
        <v>864.84887500000002</v>
      </c>
      <c r="O24" s="141">
        <f t="shared" si="3"/>
        <v>864.84887500000002</v>
      </c>
      <c r="P24" s="155"/>
      <c r="Q24" s="89"/>
      <c r="R24" s="129">
        <f>R22-R23</f>
        <v>0.39444444444444432</v>
      </c>
    </row>
    <row r="25" spans="2:34">
      <c r="B25" s="432">
        <v>8</v>
      </c>
      <c r="C25" s="429">
        <f t="shared" si="4"/>
        <v>46284</v>
      </c>
      <c r="D25" s="430">
        <f t="shared" si="4"/>
        <v>46284</v>
      </c>
      <c r="E25" s="424">
        <v>0.42638888888888887</v>
      </c>
      <c r="F25" s="424">
        <v>0</v>
      </c>
      <c r="G25" s="424">
        <f t="shared" si="0"/>
        <v>0.42638888888888887</v>
      </c>
      <c r="H25" s="424">
        <v>0.5</v>
      </c>
      <c r="I25" s="425">
        <v>0</v>
      </c>
      <c r="J25" s="425">
        <f t="shared" si="1"/>
        <v>1.7666666666666671</v>
      </c>
      <c r="K25" s="425">
        <f t="shared" si="2"/>
        <v>0</v>
      </c>
      <c r="L25" s="431">
        <f>E25-B14</f>
        <v>9.3055555555555558E-2</v>
      </c>
      <c r="M25" s="423">
        <f>(D14/60)*0</f>
        <v>0</v>
      </c>
      <c r="N25" s="427">
        <f>IFERROR(J25*IF(AND(ISNUMBER(SEARCH(TEXT(C25,"ddd"),$G$11)),Data!$F$2),$G$14,$D$14)+K25*$G$14,"")</f>
        <v>173.29675000000003</v>
      </c>
      <c r="O25" s="141">
        <f t="shared" si="3"/>
        <v>173.29675000000003</v>
      </c>
      <c r="P25" s="89"/>
      <c r="Q25" s="89"/>
    </row>
    <row r="26" spans="2:34">
      <c r="B26" s="432"/>
      <c r="C26" s="429">
        <f t="shared" si="4"/>
        <v>46285</v>
      </c>
      <c r="D26" s="430">
        <f t="shared" si="4"/>
        <v>46285</v>
      </c>
      <c r="E26" s="424">
        <v>0</v>
      </c>
      <c r="F26" s="424">
        <v>0</v>
      </c>
      <c r="G26" s="424">
        <f t="shared" si="0"/>
        <v>0</v>
      </c>
      <c r="H26" s="424">
        <v>0</v>
      </c>
      <c r="I26" s="425">
        <v>0</v>
      </c>
      <c r="J26" s="425">
        <f t="shared" si="1"/>
        <v>0</v>
      </c>
      <c r="K26" s="425">
        <f t="shared" si="2"/>
        <v>0</v>
      </c>
      <c r="L26" s="431">
        <v>0</v>
      </c>
      <c r="M26" s="98">
        <f>(D14/60)*0</f>
        <v>0</v>
      </c>
      <c r="N26" s="251">
        <f>IFERROR(J26*IF(AND(ISNUMBER(SEARCH(TEXT(C26,"ddd"),$G$11)),Data!$F$2),$G$14,$D$14)+K26*$G$14,"")</f>
        <v>0</v>
      </c>
      <c r="O26" s="141">
        <f t="shared" si="3"/>
        <v>0</v>
      </c>
      <c r="P26" s="89"/>
      <c r="Q26" s="89"/>
    </row>
    <row r="27" spans="2:34">
      <c r="B27" s="432">
        <v>9</v>
      </c>
      <c r="C27" s="429">
        <f t="shared" si="4"/>
        <v>46286</v>
      </c>
      <c r="D27" s="430">
        <f t="shared" si="4"/>
        <v>46286</v>
      </c>
      <c r="E27" s="424">
        <v>0.33333333333333331</v>
      </c>
      <c r="F27" s="424">
        <v>0</v>
      </c>
      <c r="G27" s="424">
        <f t="shared" si="0"/>
        <v>0.33333333333333331</v>
      </c>
      <c r="H27" s="424">
        <v>0.75</v>
      </c>
      <c r="I27" s="425">
        <v>1</v>
      </c>
      <c r="J27" s="425">
        <f t="shared" si="1"/>
        <v>9</v>
      </c>
      <c r="K27" s="425">
        <v>0</v>
      </c>
      <c r="L27" s="431">
        <f>E27-B14</f>
        <v>0</v>
      </c>
      <c r="M27" s="423">
        <f>(D14/60)*0</f>
        <v>0</v>
      </c>
      <c r="N27" s="427">
        <f>IFERROR(J27*IF(AND(ISNUMBER(SEARCH(TEXT(C27,"ddd"),$G$11)),Data!$F$2),$G$14,$D$14)+K27*$G$14,"")</f>
        <v>882.83249999999998</v>
      </c>
      <c r="O27" s="141">
        <f t="shared" si="3"/>
        <v>882.83249999999998</v>
      </c>
      <c r="P27" s="127"/>
      <c r="Q27" s="89"/>
    </row>
    <row r="28" spans="2:34">
      <c r="B28" s="432">
        <v>10</v>
      </c>
      <c r="C28" s="429">
        <f t="shared" si="4"/>
        <v>46287</v>
      </c>
      <c r="D28" s="430">
        <f t="shared" si="4"/>
        <v>46287</v>
      </c>
      <c r="E28" s="424">
        <v>0.33333333333333331</v>
      </c>
      <c r="F28" s="424">
        <v>0</v>
      </c>
      <c r="G28" s="424">
        <f t="shared" si="0"/>
        <v>0.33333333333333331</v>
      </c>
      <c r="H28" s="424">
        <v>0.75</v>
      </c>
      <c r="I28" s="425">
        <v>1</v>
      </c>
      <c r="J28" s="425">
        <f t="shared" si="1"/>
        <v>9</v>
      </c>
      <c r="K28" s="425">
        <f t="shared" si="2"/>
        <v>0</v>
      </c>
      <c r="L28" s="431">
        <f>E28-B14</f>
        <v>0</v>
      </c>
      <c r="M28" s="423">
        <f>(D14/60)*0</f>
        <v>0</v>
      </c>
      <c r="N28" s="427">
        <f>IFERROR(J28*IF(AND(ISNUMBER(SEARCH(TEXT(C28,"ddd"),$G$11)),Data!$F$2),$G$14,$D$14)+K28*$G$14,"")</f>
        <v>882.83249999999998</v>
      </c>
      <c r="O28" s="141">
        <f t="shared" si="3"/>
        <v>882.83249999999998</v>
      </c>
      <c r="Q28" s="89"/>
    </row>
    <row r="29" spans="2:34">
      <c r="B29" s="432">
        <v>11</v>
      </c>
      <c r="C29" s="429">
        <f t="shared" si="4"/>
        <v>46288</v>
      </c>
      <c r="D29" s="430">
        <f t="shared" si="4"/>
        <v>46288</v>
      </c>
      <c r="E29" s="424">
        <v>0.33680555555555558</v>
      </c>
      <c r="F29" s="424">
        <v>0</v>
      </c>
      <c r="G29" s="424">
        <f t="shared" si="0"/>
        <v>0.33680555555555558</v>
      </c>
      <c r="H29" s="424">
        <v>0.75</v>
      </c>
      <c r="I29" s="425">
        <v>1</v>
      </c>
      <c r="J29" s="425">
        <f t="shared" si="1"/>
        <v>8.9166666666666661</v>
      </c>
      <c r="K29" s="425">
        <f t="shared" si="2"/>
        <v>0</v>
      </c>
      <c r="L29" s="431">
        <f>E29-B14</f>
        <v>3.4722222222222654E-3</v>
      </c>
      <c r="M29" s="423">
        <f>(D14/60)*0</f>
        <v>0</v>
      </c>
      <c r="N29" s="427">
        <f>IFERROR(J29*IF(AND(ISNUMBER(SEARCH(TEXT(C29,"ddd"),$G$11)),Data!$F$2),$G$14,$D$14)+K29*$G$14,"")</f>
        <v>874.65812499999993</v>
      </c>
      <c r="O29" s="141">
        <f>M29+N29</f>
        <v>874.65812499999993</v>
      </c>
      <c r="P29" s="95">
        <f>O28-O29</f>
        <v>8.1743750000000546</v>
      </c>
      <c r="Q29" s="89"/>
    </row>
    <row r="30" spans="2:34">
      <c r="B30" s="432">
        <v>12</v>
      </c>
      <c r="C30" s="429">
        <f t="shared" si="4"/>
        <v>46289</v>
      </c>
      <c r="D30" s="430">
        <f t="shared" si="4"/>
        <v>46289</v>
      </c>
      <c r="E30" s="424">
        <v>0.33333333333333331</v>
      </c>
      <c r="F30" s="424">
        <v>0</v>
      </c>
      <c r="G30" s="424">
        <f>E30-F30</f>
        <v>0.33333333333333331</v>
      </c>
      <c r="H30" s="424">
        <v>0.75</v>
      </c>
      <c r="I30" s="425">
        <v>1</v>
      </c>
      <c r="J30" s="425">
        <f t="shared" si="1"/>
        <v>9</v>
      </c>
      <c r="K30" s="425">
        <f t="shared" si="2"/>
        <v>0</v>
      </c>
      <c r="L30" s="431">
        <f>E30--B14</f>
        <v>0.66666666666666663</v>
      </c>
      <c r="M30" s="423">
        <f>(D14/60)*0</f>
        <v>0</v>
      </c>
      <c r="N30" s="427">
        <f>IFERROR(J30*IF(AND(ISNUMBER(SEARCH(TEXT(C30,"ddd"),$G$11)),Data!$F$2),$G$14,$D$14)+K30*$G$14,"")</f>
        <v>882.83249999999998</v>
      </c>
      <c r="O30" s="141">
        <f t="shared" si="3"/>
        <v>882.83249999999998</v>
      </c>
      <c r="P30" s="127"/>
      <c r="Q30" s="89"/>
    </row>
    <row r="31" spans="2:34">
      <c r="B31" s="432">
        <v>13</v>
      </c>
      <c r="C31" s="429">
        <f t="shared" si="4"/>
        <v>46290</v>
      </c>
      <c r="D31" s="430">
        <f t="shared" si="4"/>
        <v>46290</v>
      </c>
      <c r="E31" s="424">
        <v>0.33333333333333331</v>
      </c>
      <c r="F31" s="424">
        <v>0</v>
      </c>
      <c r="G31" s="424">
        <f>E31-F31</f>
        <v>0.33333333333333331</v>
      </c>
      <c r="H31" s="424">
        <v>0.75</v>
      </c>
      <c r="I31" s="425">
        <v>1</v>
      </c>
      <c r="J31" s="425">
        <f t="shared" si="1"/>
        <v>9</v>
      </c>
      <c r="K31" s="425">
        <f t="shared" si="2"/>
        <v>0</v>
      </c>
      <c r="L31" s="431">
        <f>G31-B14</f>
        <v>0</v>
      </c>
      <c r="M31" s="423">
        <f>(D14/60)*0</f>
        <v>0</v>
      </c>
      <c r="N31" s="427">
        <f>IFERROR(J31*IF(AND(ISNUMBER(SEARCH(TEXT(C31,"ddd"),$G$11)),Data!$F$2),$G$14,$D$14)+K31*$G$14,"")</f>
        <v>882.83249999999998</v>
      </c>
      <c r="O31" s="141">
        <f>M31+N31</f>
        <v>882.83249999999998</v>
      </c>
      <c r="P31" s="95">
        <f>O28-O31</f>
        <v>0</v>
      </c>
    </row>
    <row r="32" spans="2:34">
      <c r="B32" s="441"/>
      <c r="C32" s="442"/>
      <c r="D32" s="443"/>
      <c r="E32" s="444"/>
      <c r="F32" s="444"/>
      <c r="G32" s="593" t="s">
        <v>182</v>
      </c>
      <c r="H32" s="594"/>
      <c r="I32" s="445">
        <f>SUM(I17:I31)</f>
        <v>11</v>
      </c>
      <c r="J32" s="445">
        <f>SUM(J17:J31)</f>
        <v>102.55</v>
      </c>
      <c r="K32" s="445">
        <f>SUM(K17:K31)</f>
        <v>0</v>
      </c>
      <c r="L32" s="446">
        <f>SUM(L17:L31)</f>
        <v>0.81041666666666679</v>
      </c>
      <c r="M32" s="447">
        <f>SUM(M17:M31)</f>
        <v>0</v>
      </c>
      <c r="N32" s="441"/>
      <c r="O32" s="165">
        <f>SUM(O17:O31)</f>
        <v>10059.385875000002</v>
      </c>
      <c r="P32" s="165">
        <f>SUM(P17:P31)</f>
        <v>-39.236999999999625</v>
      </c>
      <c r="Q32" s="95">
        <f>O32+P32</f>
        <v>10020.148875000003</v>
      </c>
    </row>
    <row r="33" spans="2:17">
      <c r="B33" s="441"/>
      <c r="C33" s="442"/>
      <c r="D33" s="443"/>
      <c r="E33" s="444"/>
      <c r="F33" s="444"/>
      <c r="G33" s="459" t="s">
        <v>39</v>
      </c>
      <c r="H33" s="460"/>
      <c r="I33" s="461"/>
      <c r="J33" s="462"/>
      <c r="K33" s="463"/>
      <c r="L33" s="423">
        <f>(D14/60)*0</f>
        <v>0</v>
      </c>
      <c r="M33" s="465"/>
      <c r="N33" s="466">
        <f>(D14*H14)-N37</f>
        <v>10201.620000000001</v>
      </c>
      <c r="O33" s="95"/>
      <c r="P33" s="95"/>
      <c r="Q33" s="95"/>
    </row>
    <row r="34" spans="2:17">
      <c r="B34" s="65"/>
      <c r="C34" s="65"/>
      <c r="D34" s="85"/>
      <c r="E34" s="85"/>
      <c r="F34" s="85"/>
      <c r="G34" s="592" t="s">
        <v>183</v>
      </c>
      <c r="H34" s="592"/>
      <c r="I34" s="80"/>
      <c r="J34" s="80">
        <f>H14-J32</f>
        <v>1.4500000000000028</v>
      </c>
      <c r="K34" s="65"/>
      <c r="L34" s="120"/>
      <c r="M34" s="65"/>
      <c r="N34" s="121">
        <f>M32</f>
        <v>0</v>
      </c>
      <c r="O34" s="151">
        <f>O32-O33</f>
        <v>10059.385875000002</v>
      </c>
      <c r="P34" s="95"/>
      <c r="Q34" s="95"/>
    </row>
    <row r="35" spans="2:17">
      <c r="B35" s="65"/>
      <c r="C35" s="65"/>
      <c r="D35" s="85"/>
      <c r="E35" s="145"/>
      <c r="F35" s="145"/>
      <c r="G35" s="78" t="s">
        <v>41</v>
      </c>
      <c r="H35" s="79"/>
      <c r="I35" s="66"/>
      <c r="J35" s="66"/>
      <c r="K35" s="80"/>
      <c r="L35" s="80"/>
      <c r="M35" s="80"/>
      <c r="N35" s="121">
        <f>N33-N34</f>
        <v>10201.620000000001</v>
      </c>
      <c r="O35" s="95"/>
      <c r="P35" s="95"/>
      <c r="Q35" s="95"/>
    </row>
    <row r="36" spans="2:17">
      <c r="B36" s="65"/>
      <c r="C36" s="65"/>
      <c r="D36" s="85"/>
      <c r="E36" s="146"/>
      <c r="F36" s="146"/>
      <c r="G36" s="604" t="s">
        <v>184</v>
      </c>
      <c r="H36" s="605"/>
      <c r="I36" s="80"/>
      <c r="J36" s="66"/>
      <c r="K36" s="122"/>
      <c r="L36" s="122"/>
      <c r="M36" s="122"/>
      <c r="N36" s="123">
        <f>(G14*K32)</f>
        <v>0</v>
      </c>
      <c r="O36" s="95"/>
    </row>
    <row r="37" spans="2:17">
      <c r="B37" s="65"/>
      <c r="C37" s="65"/>
      <c r="D37" s="85"/>
      <c r="E37" s="146"/>
      <c r="F37" s="146"/>
      <c r="G37" s="86" t="s">
        <v>185</v>
      </c>
      <c r="H37" s="87"/>
      <c r="I37" s="80"/>
      <c r="J37" s="66"/>
      <c r="K37" s="122"/>
      <c r="L37" s="122"/>
      <c r="M37" s="122"/>
      <c r="N37" s="123">
        <v>0</v>
      </c>
      <c r="O37" s="95"/>
    </row>
    <row r="38" spans="2:17">
      <c r="B38" s="65"/>
      <c r="C38" s="65"/>
      <c r="D38" s="85"/>
      <c r="E38" s="145"/>
      <c r="F38" s="145"/>
      <c r="G38" s="597" t="s">
        <v>186</v>
      </c>
      <c r="H38" s="598"/>
      <c r="I38" s="66"/>
      <c r="J38" s="66"/>
      <c r="K38" s="66"/>
      <c r="L38" s="66"/>
      <c r="M38" s="66"/>
      <c r="N38" s="124">
        <f>N35+N36+N37</f>
        <v>10201.620000000001</v>
      </c>
      <c r="O38" s="95"/>
    </row>
    <row r="39" spans="2:17">
      <c r="D39" s="88"/>
      <c r="E39" s="88"/>
      <c r="F39" s="88"/>
      <c r="G39" s="589"/>
      <c r="H39" s="589"/>
      <c r="I39" s="90"/>
      <c r="J39" s="90"/>
      <c r="K39" s="125"/>
      <c r="L39" s="125"/>
      <c r="M39" s="125"/>
      <c r="N39" s="126"/>
      <c r="O39" s="127"/>
    </row>
    <row r="40" spans="2:17">
      <c r="D40" s="91"/>
      <c r="E40" s="91"/>
      <c r="F40" s="91"/>
      <c r="M40" t="s">
        <v>196</v>
      </c>
    </row>
    <row r="41" spans="2:17">
      <c r="B41" s="590" t="s">
        <v>187</v>
      </c>
      <c r="C41" s="590"/>
      <c r="D41" s="590"/>
      <c r="E41" s="590"/>
      <c r="F41" s="590"/>
      <c r="G41" s="590"/>
      <c r="H41" s="590"/>
      <c r="I41" s="590"/>
      <c r="J41" s="590"/>
      <c r="K41" s="590"/>
      <c r="L41" s="590"/>
      <c r="M41" s="590"/>
      <c r="N41" s="590"/>
    </row>
    <row r="42" spans="2:17">
      <c r="D42" s="91"/>
      <c r="E42" s="91"/>
      <c r="F42" s="91"/>
    </row>
    <row r="43" spans="2:17">
      <c r="D43" s="91" t="s">
        <v>188</v>
      </c>
      <c r="E43" s="91"/>
      <c r="F43" s="91"/>
      <c r="N43" s="95"/>
    </row>
    <row r="44" spans="2:17">
      <c r="D44" s="54" t="s">
        <v>10</v>
      </c>
      <c r="E44" s="54"/>
      <c r="F44" s="54"/>
      <c r="G44" s="54" t="s">
        <v>11</v>
      </c>
      <c r="H44" s="54" t="s">
        <v>12</v>
      </c>
      <c r="I44" s="55" t="s">
        <v>13</v>
      </c>
    </row>
    <row r="45" spans="2:17">
      <c r="D45" s="56">
        <v>2026</v>
      </c>
      <c r="E45" s="56"/>
      <c r="F45" s="56"/>
      <c r="G45" s="56" t="s">
        <v>204</v>
      </c>
      <c r="H45" s="56">
        <v>12</v>
      </c>
      <c r="I45" s="56" t="s">
        <v>15</v>
      </c>
    </row>
    <row r="46" spans="2:17">
      <c r="D46" s="57"/>
      <c r="E46" s="57"/>
      <c r="F46" s="57"/>
      <c r="G46" s="57"/>
    </row>
    <row r="47" spans="2:17" ht="33.75">
      <c r="D47" s="159" t="s">
        <v>16</v>
      </c>
      <c r="E47" s="159"/>
      <c r="F47" s="159"/>
      <c r="G47" s="159" t="s">
        <v>17</v>
      </c>
      <c r="H47" s="159" t="s">
        <v>18</v>
      </c>
      <c r="I47" s="159" t="s">
        <v>19</v>
      </c>
    </row>
    <row r="48" spans="2:17">
      <c r="D48" s="61">
        <v>0.33333333333333298</v>
      </c>
      <c r="E48" s="61"/>
      <c r="F48" s="61"/>
      <c r="G48" s="62">
        <v>10</v>
      </c>
      <c r="H48" s="63">
        <f>D14</f>
        <v>98.092500000000001</v>
      </c>
      <c r="I48" s="130">
        <f>(H48*30%)+H48</f>
        <v>127.52025</v>
      </c>
    </row>
    <row r="50" spans="3:14">
      <c r="C50" s="131" t="s">
        <v>20</v>
      </c>
      <c r="D50" s="131" t="s">
        <v>12</v>
      </c>
      <c r="E50" s="131"/>
      <c r="F50" s="131"/>
      <c r="G50" s="131" t="s">
        <v>21</v>
      </c>
      <c r="H50" s="131" t="s">
        <v>22</v>
      </c>
      <c r="I50" s="131" t="s">
        <v>23</v>
      </c>
      <c r="J50" s="131" t="s">
        <v>24</v>
      </c>
      <c r="K50" s="131" t="s">
        <v>25</v>
      </c>
      <c r="L50" s="131"/>
      <c r="M50" s="131"/>
      <c r="N50" s="131" t="s">
        <v>26</v>
      </c>
    </row>
    <row r="51" spans="3:14">
      <c r="C51" s="70" t="s">
        <v>353</v>
      </c>
      <c r="D51" s="71">
        <f>DATE($B$11,MATCH($G$45,Data!$B$2:$B$13,0),CAYAPAS!$H$45)</f>
        <v>46185</v>
      </c>
      <c r="E51" s="71"/>
      <c r="F51" s="71"/>
      <c r="G51" s="72">
        <v>0.33333333333333331</v>
      </c>
      <c r="H51" s="72">
        <v>0.75</v>
      </c>
      <c r="I51" s="73">
        <v>1</v>
      </c>
      <c r="J51" s="73">
        <f>IFERROR(IF(AND(G51&lt;&gt;"",H51&lt;&gt;""),IF(G51&gt;$B$14+TIME($C$14,($C$14-INT($C$14))*60,0),0,IF(H51&gt;$B$14+TIME($C$14,($C$14-INT($C$14))*60,0),MIN(TIME($C$14,($C$14-INT($C$14))*60,0),($B$14+TIME($C$14,($C$14-INT($C$14))*60,0)-G51)),MIN(IF((H51-$B$14)&lt;0,0,(H51-$B$14)),(H51-G51))))*24,"")-I51,"")</f>
        <v>9</v>
      </c>
      <c r="K51" s="73">
        <f>IF(AND(G51&lt;&gt;"",H51&lt;&gt;""),((IF(G51&lt;$D$48,MIN($D$48-G51,H51-G51),0)+IF(H51&gt;$D$48+TIME($G$48,($G$48-INT($G$48))*60,0),MIN((H51-$D$48-TIME($G$48,($G$48-INT($G$48))*60,0)),(H51-G51)),0))*24),"")</f>
        <v>0</v>
      </c>
      <c r="L51" s="73"/>
      <c r="M51" s="73"/>
      <c r="N51" s="99">
        <f>J51*H48</f>
        <v>882.83249999999998</v>
      </c>
    </row>
    <row r="52" spans="3:14">
      <c r="C52" s="70" t="s">
        <v>445</v>
      </c>
      <c r="D52" s="71">
        <v>23</v>
      </c>
      <c r="E52" s="71"/>
      <c r="F52" s="71"/>
      <c r="G52" s="72">
        <v>0</v>
      </c>
      <c r="H52" s="72">
        <v>0</v>
      </c>
      <c r="I52" s="73">
        <v>0</v>
      </c>
      <c r="J52" s="73">
        <f>IFERROR(IF(AND(G52&lt;&gt;"",H52&lt;&gt;""),IF(G52&gt;$B$14+TIME($C$14,($C$14-INT($C$14))*60,0),0,IF(H52&gt;$B$14+TIME($C$14,($C$14-INT($C$14))*60,0),MIN(TIME($C$14,($C$14-INT($C$14))*60,0),($B$14+TIME($C$14,($C$14-INT($C$14))*60,0)-G52)),MIN(IF((H52-$B$14)&lt;0,0,(H52-$B$14)),(H52-G52))))*24,"")-I52,"")</f>
        <v>0</v>
      </c>
      <c r="K52" s="73">
        <f>IF(AND(G52&lt;&gt;"",H52&lt;&gt;""),((IF(G52&lt;$D$48,MIN($D$48-G52,H52-G52),0)+IF(H52&gt;$D$48+TIME($G$48,($G$48-INT($G$48))*60,0),MIN((H52-$D$48-TIME($G$48,($G$48-INT($G$48))*60,0)),(H52-G52)),0))*24),"")</f>
        <v>0</v>
      </c>
      <c r="L52" s="73"/>
      <c r="M52" s="73"/>
      <c r="N52" s="99">
        <f>J52*H48</f>
        <v>0</v>
      </c>
    </row>
    <row r="53" spans="3:14"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318">
        <f>SUM(N51:N52)</f>
        <v>882.83249999999998</v>
      </c>
    </row>
    <row r="54" spans="3:14">
      <c r="N54" s="324"/>
    </row>
    <row r="55" spans="3:14">
      <c r="N55" s="324"/>
    </row>
    <row r="56" spans="3:14">
      <c r="N56" s="138"/>
    </row>
    <row r="57" spans="3:14">
      <c r="N57" s="138"/>
    </row>
    <row r="58" spans="3:14">
      <c r="C58" s="132" t="s">
        <v>190</v>
      </c>
      <c r="D58" s="132"/>
      <c r="N58" s="138"/>
    </row>
    <row r="59" spans="3:14">
      <c r="N59" s="138"/>
    </row>
    <row r="60" spans="3:14">
      <c r="C60" s="591">
        <v>44981</v>
      </c>
      <c r="D60" s="591"/>
      <c r="E60" s="591"/>
      <c r="F60" s="88"/>
      <c r="G60" s="148" t="s">
        <v>280</v>
      </c>
      <c r="H60" s="254"/>
      <c r="N60" s="138"/>
    </row>
    <row r="61" spans="3:14">
      <c r="D61" s="88"/>
      <c r="E61" s="88"/>
      <c r="F61" s="256">
        <f>F60*G61</f>
        <v>0</v>
      </c>
      <c r="G61" s="253">
        <v>0.3</v>
      </c>
      <c r="H61" s="254"/>
      <c r="N61" s="138"/>
    </row>
    <row r="62" spans="3:14">
      <c r="D62" s="91"/>
      <c r="E62" s="91"/>
      <c r="F62" s="91"/>
      <c r="N62" s="138"/>
    </row>
    <row r="63" spans="3:14">
      <c r="D63" s="91"/>
      <c r="E63" s="91"/>
      <c r="F63" s="91"/>
      <c r="G63" s="257">
        <f>F61</f>
        <v>0</v>
      </c>
      <c r="N63" s="138"/>
    </row>
    <row r="64" spans="3:14">
      <c r="D64" s="132"/>
      <c r="E64" s="132"/>
      <c r="F64" s="132"/>
      <c r="G64" s="133"/>
      <c r="H64" s="133"/>
      <c r="I64" s="133"/>
    </row>
    <row r="65" spans="3:9">
      <c r="D65" s="132"/>
      <c r="E65" s="132"/>
      <c r="F65" s="132"/>
      <c r="G65" s="133"/>
      <c r="H65" s="133"/>
      <c r="I65" s="133"/>
    </row>
    <row r="66" spans="3:9">
      <c r="F66" s="132"/>
      <c r="G66" s="133"/>
      <c r="H66" s="133"/>
      <c r="I66" s="133"/>
    </row>
    <row r="67" spans="3:9">
      <c r="G67" s="606"/>
      <c r="H67" s="606"/>
    </row>
    <row r="70" spans="3:9">
      <c r="C70" s="91" t="s">
        <v>141</v>
      </c>
    </row>
    <row r="71" spans="3:9">
      <c r="C71" t="s">
        <v>66</v>
      </c>
    </row>
    <row r="72" spans="3:9">
      <c r="C72" s="91"/>
    </row>
  </sheetData>
  <mergeCells count="13">
    <mergeCell ref="G67:H67"/>
    <mergeCell ref="G34:H34"/>
    <mergeCell ref="G36:H36"/>
    <mergeCell ref="G38:H38"/>
    <mergeCell ref="G39:H39"/>
    <mergeCell ref="B41:N41"/>
    <mergeCell ref="C60:E60"/>
    <mergeCell ref="G32:H32"/>
    <mergeCell ref="A6:N6"/>
    <mergeCell ref="C7:D7"/>
    <mergeCell ref="M7:O7"/>
    <mergeCell ref="C8:D8"/>
    <mergeCell ref="M8:O8"/>
  </mergeCells>
  <conditionalFormatting sqref="C17:D17">
    <cfRule type="expression" dxfId="181" priority="146">
      <formula>ISNUMBER(SEARCH(TEXT($B17,"ddd"),$F$10))</formula>
    </cfRule>
  </conditionalFormatting>
  <conditionalFormatting sqref="C18:D31">
    <cfRule type="expression" dxfId="180" priority="148">
      <formula>ISNUMBER(SEARCH(TEXT($C18,"ddd"),$G$11))</formula>
    </cfRule>
  </conditionalFormatting>
  <conditionalFormatting sqref="C51:N52">
    <cfRule type="expression" dxfId="179" priority="1">
      <formula>ISNUMBER(SEARCH(TEXT($C51,"ddd"),$G$11))</formula>
    </cfRule>
  </conditionalFormatting>
  <conditionalFormatting sqref="E17:L31">
    <cfRule type="expression" dxfId="178" priority="2">
      <formula>ISNUMBER(SEARCH(TEXT($C17,"ddd"),$G$11))</formula>
    </cfRule>
  </conditionalFormatting>
  <conditionalFormatting sqref="N17:N31">
    <cfRule type="expression" dxfId="177" priority="147">
      <formula>ISNUMBER(SEARCH(TEXT($B17,"ddd"),$F$10))</formula>
    </cfRule>
  </conditionalFormatting>
  <dataValidations count="5">
    <dataValidation type="list" allowBlank="1" showInputMessage="1" showErrorMessage="1" sqref="E11:F11" xr:uid="{00000000-0002-0000-1E00-000000000000}">
      <formula1>CAYAPAS!DateCalc</formula1>
    </dataValidation>
    <dataValidation type="custom" allowBlank="1" showInputMessage="1" showErrorMessage="1" sqref="G51:G52 E17:G31" xr:uid="{00000000-0002-0000-1E00-000001000000}">
      <formula1>AND($G17&lt;=1,ISNUMBER($G17))</formula1>
    </dataValidation>
    <dataValidation type="custom" allowBlank="1" showInputMessage="1" showErrorMessage="1" sqref="H51:H52 H17:H31" xr:uid="{00000000-0002-0000-1E00-000002000000}">
      <formula1>AND($H17&lt;=1,ISNUMBER($H17),($H17&gt;=$G17))</formula1>
    </dataValidation>
    <dataValidation type="list" allowBlank="1" showInputMessage="1" showErrorMessage="1" sqref="D11 H45" xr:uid="{00000000-0002-0000-1E00-000003000000}">
      <formula1>DateCalc</formula1>
    </dataValidation>
    <dataValidation type="list" allowBlank="1" showInputMessage="1" showErrorMessage="1" sqref="G11" xr:uid="{00000000-0002-0000-1E00-000004000000}"/>
  </dataValidations>
  <pageMargins left="1.07083333333333" right="0.25" top="0.359722222222222" bottom="0.39791666666666697" header="0.29861111111111099" footer="0.29861111111111099"/>
  <pageSetup paperSize="9" scale="91" orientation="landscape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70017" r:id="rId4" name="Check Box 1">
              <controlPr defaultSize="0" print="0" autoPict="0">
                <anchor moveWithCells="1">
                  <from>
                    <xdr:col>7</xdr:col>
                    <xdr:colOff>180975</xdr:colOff>
                    <xdr:row>9</xdr:row>
                    <xdr:rowOff>28575</xdr:rowOff>
                  </from>
                  <to>
                    <xdr:col>8</xdr:col>
                    <xdr:colOff>571500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E00-000005000000}">
          <x14:formula1>
            <xm:f>Data!$B$2:$B$13</xm:f>
          </x14:formula1>
          <xm:sqref>C11 G45</xm:sqref>
        </x14:dataValidation>
        <x14:dataValidation type="list" allowBlank="1" showInputMessage="1" showErrorMessage="1" xr:uid="{00000000-0002-0000-1E00-000006000000}">
          <x14:formula1>
            <xm:f>Data!$A$2:$A$15</xm:f>
          </x14:formula1>
          <xm:sqref>B11 D45:F45</xm:sqref>
        </x14:dataValidation>
        <x14:dataValidation type="list" allowBlank="1" showInputMessage="1" showErrorMessage="1" xr:uid="{00000000-0002-0000-1E00-000007000000}">
          <x14:formula1>
            <xm:f>Data!$D$2:$D$16</xm:f>
          </x14:formula1>
          <xm:sqref>I45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5:AH70"/>
  <sheetViews>
    <sheetView showGridLines="0" view="pageLayout" topLeftCell="G10" zoomScaleNormal="100" workbookViewId="0">
      <selection activeCell="M30" sqref="M30"/>
    </sheetView>
  </sheetViews>
  <sheetFormatPr defaultColWidth="9" defaultRowHeight="12.75"/>
  <cols>
    <col min="1" max="1" width="1.625" customWidth="1"/>
    <col min="2" max="2" width="5.375" customWidth="1"/>
    <col min="3" max="3" width="7.125" customWidth="1"/>
    <col min="4" max="6" width="7.625" customWidth="1"/>
    <col min="7" max="7" width="10.125" customWidth="1"/>
    <col min="8" max="8" width="9.625" customWidth="1"/>
    <col min="9" max="9" width="8.125" customWidth="1"/>
    <col min="10" max="10" width="10.125" customWidth="1"/>
    <col min="11" max="11" width="7.875" customWidth="1"/>
    <col min="12" max="12" width="10.125" customWidth="1"/>
    <col min="13" max="13" width="10.375" customWidth="1"/>
    <col min="14" max="14" width="10.875" customWidth="1"/>
    <col min="15" max="15" width="16.875" customWidth="1"/>
    <col min="18" max="18" width="11.125" customWidth="1"/>
  </cols>
  <sheetData>
    <row r="5" spans="1:15" ht="25.5" customHeight="1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15" s="47" customFormat="1" ht="25.5" customHeight="1">
      <c r="A6" s="603"/>
      <c r="B6" s="603"/>
      <c r="C6" s="603"/>
      <c r="D6" s="603"/>
      <c r="E6" s="603"/>
      <c r="F6" s="603"/>
      <c r="G6" s="603"/>
      <c r="H6" s="603"/>
      <c r="I6" s="603"/>
      <c r="J6" s="603"/>
      <c r="K6" s="603"/>
      <c r="L6" s="603"/>
      <c r="M6" s="603"/>
      <c r="N6" s="603"/>
    </row>
    <row r="7" spans="1:15" ht="18.75" customHeight="1">
      <c r="C7" s="527" t="s">
        <v>3</v>
      </c>
      <c r="D7" s="527"/>
      <c r="E7" s="49"/>
      <c r="F7" s="49"/>
      <c r="G7" s="50" t="s">
        <v>212</v>
      </c>
      <c r="H7" s="51"/>
      <c r="K7" s="49" t="s">
        <v>174</v>
      </c>
      <c r="M7" s="599" t="str">
        <f>PAALAN!L7</f>
        <v>September  11-25, 2026</v>
      </c>
      <c r="N7" s="599"/>
      <c r="O7" s="599"/>
    </row>
    <row r="8" spans="1:15" ht="18.75" customHeight="1">
      <c r="C8" s="527" t="s">
        <v>175</v>
      </c>
      <c r="D8" s="527"/>
      <c r="E8" s="49"/>
      <c r="F8" s="49"/>
      <c r="G8" s="50" t="s">
        <v>213</v>
      </c>
      <c r="H8" s="51"/>
      <c r="K8" s="49" t="s">
        <v>176</v>
      </c>
      <c r="L8" s="92"/>
      <c r="M8" s="600" t="str">
        <f>PAALAN!L8</f>
        <v>9/31/2026</v>
      </c>
      <c r="N8" s="600"/>
      <c r="O8" s="600"/>
    </row>
    <row r="9" spans="1:15">
      <c r="C9" s="52"/>
      <c r="D9" s="53"/>
      <c r="E9" s="53"/>
      <c r="F9" s="53"/>
      <c r="G9" s="53"/>
    </row>
    <row r="10" spans="1:15">
      <c r="B10" s="54" t="s">
        <v>10</v>
      </c>
      <c r="C10" s="54" t="s">
        <v>11</v>
      </c>
      <c r="D10" s="54" t="s">
        <v>12</v>
      </c>
      <c r="E10" s="54"/>
      <c r="F10" s="54"/>
      <c r="G10" s="55" t="s">
        <v>13</v>
      </c>
    </row>
    <row r="11" spans="1:15">
      <c r="B11" s="56">
        <v>2026</v>
      </c>
      <c r="C11" s="56" t="s">
        <v>177</v>
      </c>
      <c r="D11" s="56">
        <v>11</v>
      </c>
      <c r="E11" s="56"/>
      <c r="F11" s="56"/>
      <c r="G11" s="56" t="s">
        <v>178</v>
      </c>
    </row>
    <row r="12" spans="1:15">
      <c r="B12" s="57"/>
      <c r="C12" s="57"/>
      <c r="H12" s="57"/>
      <c r="K12" s="57"/>
      <c r="L12" s="57"/>
      <c r="M12" s="57"/>
    </row>
    <row r="13" spans="1:15" ht="35.25" customHeight="1">
      <c r="B13" s="159" t="s">
        <v>16</v>
      </c>
      <c r="C13" s="159" t="s">
        <v>17</v>
      </c>
      <c r="D13" s="159" t="s">
        <v>18</v>
      </c>
      <c r="E13" s="160"/>
      <c r="F13" s="160"/>
      <c r="G13" s="160" t="s">
        <v>19</v>
      </c>
      <c r="H13" s="161" t="s">
        <v>179</v>
      </c>
      <c r="L13" s="93"/>
      <c r="M13" s="93"/>
      <c r="N13" s="94"/>
    </row>
    <row r="14" spans="1:15">
      <c r="B14" s="61">
        <v>0.33333333333333331</v>
      </c>
      <c r="C14" s="62">
        <v>10</v>
      </c>
      <c r="D14" s="63">
        <f>(18040/26)/8</f>
        <v>86.730769230769226</v>
      </c>
      <c r="E14" s="142"/>
      <c r="F14" s="142"/>
      <c r="G14" s="64">
        <f>(D14*25%)+D14</f>
        <v>108.41346153846153</v>
      </c>
      <c r="H14" s="65">
        <v>105</v>
      </c>
      <c r="I14" s="95"/>
      <c r="L14" s="57"/>
      <c r="M14" s="57"/>
      <c r="N14" s="95"/>
    </row>
    <row r="15" spans="1:15">
      <c r="N15" s="96"/>
    </row>
    <row r="16" spans="1:15" ht="23.25">
      <c r="B16" s="441"/>
      <c r="C16" s="448" t="s">
        <v>20</v>
      </c>
      <c r="D16" s="448" t="s">
        <v>12</v>
      </c>
      <c r="E16" s="448"/>
      <c r="F16" s="448"/>
      <c r="G16" s="448" t="s">
        <v>21</v>
      </c>
      <c r="H16" s="448" t="s">
        <v>22</v>
      </c>
      <c r="I16" s="449" t="s">
        <v>23</v>
      </c>
      <c r="J16" s="449" t="s">
        <v>24</v>
      </c>
      <c r="K16" s="449" t="s">
        <v>25</v>
      </c>
      <c r="L16" s="448" t="s">
        <v>180</v>
      </c>
      <c r="M16" s="450" t="s">
        <v>181</v>
      </c>
      <c r="N16" s="448" t="s">
        <v>26</v>
      </c>
    </row>
    <row r="17" spans="2:34">
      <c r="B17" s="432">
        <v>1</v>
      </c>
      <c r="C17" s="429">
        <f>DATE($B$11,MATCH($C$11,Data!$B$2:$B$13,0),ACOMPAÑADO!$D$11)</f>
        <v>46276</v>
      </c>
      <c r="D17" s="430">
        <f>DATE($B$11,MATCH($C$11,Data!$B$2:$B$13,0),ACOMPAÑADO!$D$11)</f>
        <v>46276</v>
      </c>
      <c r="E17" s="424">
        <v>0.33333333333333331</v>
      </c>
      <c r="F17" s="424">
        <v>0</v>
      </c>
      <c r="G17" s="424">
        <f t="shared" ref="G17:G19" si="0">E17-F17</f>
        <v>0.33333333333333331</v>
      </c>
      <c r="H17" s="424">
        <v>0.75</v>
      </c>
      <c r="I17" s="425">
        <v>1</v>
      </c>
      <c r="J17" s="425">
        <f t="shared" ref="J17:J31" si="1">IFERROR(IF(AND(G17&lt;&gt;"",H17&lt;&gt;""),IF(G17&gt;$B$14+TIME($C$14,($C$14-INT($C$14))*60,0),0,IF(H17&gt;$B$14+TIME($C$14,($C$14-INT($C$14))*60,0),MIN(TIME($C$14,($C$14-INT($C$14))*60,0),($B$14+TIME($C$14,($C$14-INT($C$14))*60,0)-G17)),MIN(IF((H17-$B$14)&lt;0,0,(H17-$B$14)),(H17-G17))))*24,"")-I17,"")</f>
        <v>9</v>
      </c>
      <c r="K17" s="425">
        <v>0</v>
      </c>
      <c r="L17" s="426">
        <f>E17-B14</f>
        <v>0</v>
      </c>
      <c r="M17" s="423">
        <f>(D14/60)*0</f>
        <v>0</v>
      </c>
      <c r="N17" s="427">
        <f>IFERROR(J17*IF(AND(ISNUMBER(SEARCH(TEXT(C17,"ddd"),$G$11)),Data!$F$2),$G$14,$D$14)+K17*$G$14,"")</f>
        <v>780.57692307692309</v>
      </c>
      <c r="O17" s="141">
        <f t="shared" ref="O17:O30" si="2">M17+N17</f>
        <v>780.57692307692309</v>
      </c>
      <c r="P17" s="100"/>
      <c r="Q17" s="89"/>
    </row>
    <row r="18" spans="2:34">
      <c r="B18" s="432">
        <v>2</v>
      </c>
      <c r="C18" s="429">
        <f t="shared" ref="C18:D31" si="3">C17+1</f>
        <v>46277</v>
      </c>
      <c r="D18" s="430">
        <f t="shared" si="3"/>
        <v>46277</v>
      </c>
      <c r="E18" s="424">
        <v>0</v>
      </c>
      <c r="F18" s="424">
        <v>0</v>
      </c>
      <c r="G18" s="424">
        <f t="shared" si="0"/>
        <v>0</v>
      </c>
      <c r="H18" s="424">
        <v>0</v>
      </c>
      <c r="I18" s="425">
        <v>0</v>
      </c>
      <c r="J18" s="425">
        <f t="shared" si="1"/>
        <v>0</v>
      </c>
      <c r="K18" s="425">
        <f t="shared" ref="K18:K29" si="4">IF(AND(G18&lt;&gt;"",H18&lt;&gt;""),((IF(G18&lt;$B$14,MIN($B$14-G18,H18-G18),0)+IF(H18&gt;$B$14+TIME($C$14,($C$14-INT($C$14))*60,0),MIN((H18-$B$14-TIME($C$14,($C$14-INT($C$14))*60,0)),(H18-G18)),0))*24),"")</f>
        <v>0</v>
      </c>
      <c r="L18" s="433">
        <v>0</v>
      </c>
      <c r="M18" s="423">
        <f>(D14/60)*180</f>
        <v>260.19230769230768</v>
      </c>
      <c r="N18" s="427">
        <f>IFERROR(J18*IF(AND(ISNUMBER(SEARCH(TEXT(C18,"ddd"),$G$11)),Data!$F$2),$G$14,$D$14)+K18*$G$14,"")</f>
        <v>0</v>
      </c>
      <c r="O18" s="141">
        <f t="shared" si="2"/>
        <v>260.19230769230768</v>
      </c>
      <c r="P18" s="89"/>
      <c r="Q18" s="89"/>
    </row>
    <row r="19" spans="2:34">
      <c r="B19" s="432"/>
      <c r="C19" s="429">
        <f t="shared" si="3"/>
        <v>46278</v>
      </c>
      <c r="D19" s="430">
        <f t="shared" si="3"/>
        <v>46278</v>
      </c>
      <c r="E19" s="424">
        <v>0</v>
      </c>
      <c r="F19" s="424">
        <v>0</v>
      </c>
      <c r="G19" s="424">
        <f t="shared" si="0"/>
        <v>0</v>
      </c>
      <c r="H19" s="424">
        <v>0</v>
      </c>
      <c r="I19" s="425">
        <v>0</v>
      </c>
      <c r="J19" s="425">
        <f t="shared" si="1"/>
        <v>0</v>
      </c>
      <c r="K19" s="425">
        <f t="shared" ref="K19" si="5">IF(AND(G19&lt;&gt;"",H19&lt;&gt;""),((IF(G19&lt;$B$14,MIN($B$14-G19,H19-G19),0)+IF(H19&gt;$B$14+TIME($C$14,($C$14-INT($C$14))*60,0),MIN((H19-$B$14-TIME($C$14,($C$14-INT($C$14))*60,0)),(H19-G19)),0))*24),"")</f>
        <v>0</v>
      </c>
      <c r="L19" s="97">
        <v>0</v>
      </c>
      <c r="M19" s="98">
        <f>(D14/60)*0</f>
        <v>0</v>
      </c>
      <c r="N19" s="251">
        <f>IFERROR(J19*IF(AND(ISNUMBER(SEARCH(TEXT(C19,"ddd"),$G$11)),Data!$F$2),$G$14,$D$14)+K19*$G$14,"")</f>
        <v>0</v>
      </c>
      <c r="O19" s="141">
        <f t="shared" si="2"/>
        <v>0</v>
      </c>
      <c r="P19" s="100"/>
      <c r="Q19" s="104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</row>
    <row r="20" spans="2:34">
      <c r="B20" s="432">
        <v>3</v>
      </c>
      <c r="C20" s="429">
        <f t="shared" si="3"/>
        <v>46279</v>
      </c>
      <c r="D20" s="430">
        <f t="shared" si="3"/>
        <v>46279</v>
      </c>
      <c r="E20" s="424">
        <v>0</v>
      </c>
      <c r="F20" s="424">
        <v>0</v>
      </c>
      <c r="G20" s="424">
        <f t="shared" ref="G20:G24" si="6">E20-F20</f>
        <v>0</v>
      </c>
      <c r="H20" s="424">
        <v>0</v>
      </c>
      <c r="I20" s="425">
        <v>0</v>
      </c>
      <c r="J20" s="425">
        <f t="shared" si="1"/>
        <v>0</v>
      </c>
      <c r="K20" s="425">
        <f t="shared" si="4"/>
        <v>0</v>
      </c>
      <c r="L20" s="426">
        <v>0</v>
      </c>
      <c r="M20" s="423">
        <f>(D14/60)*540</f>
        <v>780.57692307692309</v>
      </c>
      <c r="N20" s="427">
        <f>IFERROR(J20*IF(AND(ISNUMBER(SEARCH(TEXT(C20,"ddd"),$G$11)),Data!$F$2),$G$14,$D$14)+K20*$G$14,"")</f>
        <v>0</v>
      </c>
      <c r="O20" s="141">
        <f t="shared" si="2"/>
        <v>780.57692307692309</v>
      </c>
      <c r="P20" s="103"/>
      <c r="Q20" s="103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28"/>
    </row>
    <row r="21" spans="2:34">
      <c r="B21" s="432">
        <v>4</v>
      </c>
      <c r="C21" s="429">
        <f t="shared" si="3"/>
        <v>46280</v>
      </c>
      <c r="D21" s="430">
        <f t="shared" si="3"/>
        <v>46280</v>
      </c>
      <c r="E21" s="424">
        <v>0.33333333333333331</v>
      </c>
      <c r="F21" s="424">
        <v>0</v>
      </c>
      <c r="G21" s="424">
        <v>0.33333333333333331</v>
      </c>
      <c r="H21" s="424">
        <v>0.5</v>
      </c>
      <c r="I21" s="425">
        <v>0</v>
      </c>
      <c r="J21" s="425">
        <f t="shared" si="1"/>
        <v>4</v>
      </c>
      <c r="K21" s="425">
        <f t="shared" ref="K21" si="7">IF(AND(G21&lt;&gt;"",H21&lt;&gt;""),((IF(G21&lt;$B$14,MIN($B$14-G21,H21-G21),0)+IF(H21&gt;$B$14+TIME($C$14,($C$14-INT($C$14))*60,0),MIN((H21-$B$14-TIME($C$14,($C$14-INT($C$14))*60,0)),(H21-G21)),0))*24),"")</f>
        <v>0</v>
      </c>
      <c r="L21" s="426">
        <f>G21-B14</f>
        <v>0</v>
      </c>
      <c r="M21" s="423">
        <f>(D14/60)*300</f>
        <v>433.65384615384613</v>
      </c>
      <c r="N21" s="427">
        <f>IFERROR(J21*IF(AND(ISNUMBER(SEARCH(TEXT(C21,"ddd"),$G$11)),Data!$F$2),$G$14,$D$14)+K21*$G$14,"")</f>
        <v>346.92307692307691</v>
      </c>
      <c r="O21" s="141">
        <f t="shared" si="2"/>
        <v>780.57692307692309</v>
      </c>
      <c r="P21" s="162"/>
      <c r="Q21" s="108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4"/>
    </row>
    <row r="22" spans="2:34">
      <c r="B22" s="432">
        <v>5</v>
      </c>
      <c r="C22" s="429">
        <f t="shared" si="3"/>
        <v>46281</v>
      </c>
      <c r="D22" s="430">
        <f t="shared" si="3"/>
        <v>46281</v>
      </c>
      <c r="E22" s="424">
        <v>0.34305555555555556</v>
      </c>
      <c r="F22" s="424">
        <v>0</v>
      </c>
      <c r="G22" s="424">
        <v>0.33333333333333331</v>
      </c>
      <c r="H22" s="424">
        <v>0.75</v>
      </c>
      <c r="I22" s="425">
        <v>1</v>
      </c>
      <c r="J22" s="425">
        <f t="shared" si="1"/>
        <v>9</v>
      </c>
      <c r="K22" s="425">
        <f t="shared" si="4"/>
        <v>0</v>
      </c>
      <c r="L22" s="426">
        <f>E22-B14</f>
        <v>9.7222222222222432E-3</v>
      </c>
      <c r="M22" s="423">
        <f>(D14/60)*14</f>
        <v>20.237179487179485</v>
      </c>
      <c r="N22" s="427">
        <f>IFERROR(J22*IF(AND(ISNUMBER(SEARCH(TEXT(C22,"ddd"),$G$11)),Data!$F$2),$G$14,$D$14)+K22*$G$14,"")</f>
        <v>780.57692307692309</v>
      </c>
      <c r="O22" s="141">
        <f t="shared" si="2"/>
        <v>800.81410256410254</v>
      </c>
      <c r="P22" s="163">
        <f>O21-O22</f>
        <v>-20.237179487179446</v>
      </c>
      <c r="Q22" s="135"/>
      <c r="R22" s="96">
        <v>0.40486111111111101</v>
      </c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4"/>
    </row>
    <row r="23" spans="2:34">
      <c r="B23" s="432">
        <v>6</v>
      </c>
      <c r="C23" s="429">
        <f t="shared" si="3"/>
        <v>46282</v>
      </c>
      <c r="D23" s="430">
        <f t="shared" si="3"/>
        <v>46282</v>
      </c>
      <c r="E23" s="424">
        <v>0</v>
      </c>
      <c r="F23" s="424">
        <v>0</v>
      </c>
      <c r="G23" s="424">
        <f t="shared" si="6"/>
        <v>0</v>
      </c>
      <c r="H23" s="424">
        <v>0</v>
      </c>
      <c r="I23" s="425">
        <v>0</v>
      </c>
      <c r="J23" s="425">
        <f t="shared" si="1"/>
        <v>0</v>
      </c>
      <c r="K23" s="425">
        <f t="shared" ref="K23" si="8">IF(AND(G23&lt;&gt;"",H23&lt;&gt;""),((IF(G23&lt;$B$14,MIN($B$14-G23,H23-G23),0)+IF(H23&gt;$B$14+TIME($C$14,($C$14-INT($C$14))*60,0),MIN((H23-$B$14-TIME($C$14,($C$14-INT($C$14))*60,0)),(H23-G23)),0))*24),"")</f>
        <v>0</v>
      </c>
      <c r="L23" s="426">
        <v>0</v>
      </c>
      <c r="M23" s="423">
        <f>(D14/60)*540</f>
        <v>780.57692307692309</v>
      </c>
      <c r="N23" s="427">
        <f>IFERROR(J23*IF(AND(ISNUMBER(SEARCH(TEXT(C23,"ddd"),$G$11)),Data!$F$2),$G$14,$D$14)+K23*$G$14,"")</f>
        <v>0</v>
      </c>
      <c r="O23" s="141">
        <f t="shared" si="2"/>
        <v>780.57692307692309</v>
      </c>
      <c r="P23" s="150"/>
      <c r="Q23" s="89"/>
      <c r="R23" s="96">
        <v>1.0416666666666701E-2</v>
      </c>
    </row>
    <row r="24" spans="2:34">
      <c r="B24" s="432">
        <v>7</v>
      </c>
      <c r="C24" s="429">
        <f t="shared" si="3"/>
        <v>46283</v>
      </c>
      <c r="D24" s="430">
        <f t="shared" si="3"/>
        <v>46283</v>
      </c>
      <c r="E24" s="424">
        <v>0.33819444444444446</v>
      </c>
      <c r="F24" s="424">
        <v>0</v>
      </c>
      <c r="G24" s="424">
        <f t="shared" si="6"/>
        <v>0.33819444444444446</v>
      </c>
      <c r="H24" s="424">
        <v>0.75</v>
      </c>
      <c r="I24" s="425">
        <v>1</v>
      </c>
      <c r="J24" s="425">
        <f t="shared" si="1"/>
        <v>8.8833333333333329</v>
      </c>
      <c r="K24" s="425">
        <v>0</v>
      </c>
      <c r="L24" s="426">
        <f>E24-B14</f>
        <v>4.8611111111111494E-3</v>
      </c>
      <c r="M24" s="423">
        <f>(D14/60)*7</f>
        <v>10.118589743589743</v>
      </c>
      <c r="N24" s="427">
        <f>IFERROR(J24*IF(AND(ISNUMBER(SEARCH(TEXT(C24,"ddd"),$G$11)),Data!$F$2),$G$14,$D$14)+K24*$G$14,"")</f>
        <v>770.45833333333326</v>
      </c>
      <c r="O24" s="141">
        <f t="shared" si="2"/>
        <v>780.57692307692298</v>
      </c>
      <c r="P24" s="155"/>
      <c r="Q24" s="89"/>
      <c r="R24" s="129">
        <f>R22-R23</f>
        <v>0.39444444444444432</v>
      </c>
    </row>
    <row r="25" spans="2:34">
      <c r="B25" s="432">
        <v>8</v>
      </c>
      <c r="C25" s="429">
        <f t="shared" si="3"/>
        <v>46284</v>
      </c>
      <c r="D25" s="430">
        <f t="shared" si="3"/>
        <v>46284</v>
      </c>
      <c r="E25" s="424">
        <v>0</v>
      </c>
      <c r="F25" s="424">
        <v>0</v>
      </c>
      <c r="G25" s="424">
        <f t="shared" ref="G25:G29" si="9">E25-F25</f>
        <v>0</v>
      </c>
      <c r="H25" s="424">
        <v>0</v>
      </c>
      <c r="I25" s="425">
        <v>0</v>
      </c>
      <c r="J25" s="425">
        <f t="shared" si="1"/>
        <v>0</v>
      </c>
      <c r="K25" s="425">
        <f t="shared" si="4"/>
        <v>0</v>
      </c>
      <c r="L25" s="426">
        <v>0</v>
      </c>
      <c r="M25" s="423">
        <f>(D14/60)*180</f>
        <v>260.19230769230768</v>
      </c>
      <c r="N25" s="427">
        <f>IFERROR(J25*IF(AND(ISNUMBER(SEARCH(TEXT(C25,"ddd"),$G$11)),Data!$F$2),$G$14,$D$14)+K25*$G$14,"")</f>
        <v>0</v>
      </c>
      <c r="O25" s="141">
        <f t="shared" si="2"/>
        <v>260.19230769230768</v>
      </c>
      <c r="P25" s="89"/>
      <c r="Q25" s="89"/>
    </row>
    <row r="26" spans="2:34">
      <c r="B26" s="432"/>
      <c r="C26" s="429">
        <f t="shared" si="3"/>
        <v>46285</v>
      </c>
      <c r="D26" s="430">
        <f t="shared" si="3"/>
        <v>46285</v>
      </c>
      <c r="E26" s="424">
        <v>0</v>
      </c>
      <c r="F26" s="424">
        <v>0</v>
      </c>
      <c r="G26" s="424">
        <f t="shared" si="9"/>
        <v>0</v>
      </c>
      <c r="H26" s="424">
        <v>0</v>
      </c>
      <c r="I26" s="425">
        <v>0</v>
      </c>
      <c r="J26" s="425">
        <f t="shared" si="1"/>
        <v>0</v>
      </c>
      <c r="K26" s="425">
        <f t="shared" ref="K26:K27" si="10">IF(AND(G26&lt;&gt;"",H26&lt;&gt;""),((IF(G26&lt;$B$14,MIN($B$14-G26,H26-G26),0)+IF(H26&gt;$B$14+TIME($C$14,($C$14-INT($C$14))*60,0),MIN((H26-$B$14-TIME($C$14,($C$14-INT($C$14))*60,0)),(H26-G26)),0))*24),"")</f>
        <v>0</v>
      </c>
      <c r="L26" s="97">
        <v>0</v>
      </c>
      <c r="M26" s="98">
        <v>0</v>
      </c>
      <c r="N26" s="251">
        <f>IFERROR(J26*IF(AND(ISNUMBER(SEARCH(TEXT(C26,"ddd"),$G$11)),Data!$F$2),$G$14,$D$14)+K26*$G$14,"")</f>
        <v>0</v>
      </c>
      <c r="O26" s="141">
        <f t="shared" si="2"/>
        <v>0</v>
      </c>
      <c r="P26" s="89"/>
      <c r="Q26" s="89"/>
    </row>
    <row r="27" spans="2:34">
      <c r="B27" s="432">
        <v>9</v>
      </c>
      <c r="C27" s="429">
        <f t="shared" si="3"/>
        <v>46286</v>
      </c>
      <c r="D27" s="430">
        <f t="shared" si="3"/>
        <v>46286</v>
      </c>
      <c r="E27" s="424">
        <v>0.33333333333333331</v>
      </c>
      <c r="F27" s="424">
        <v>0</v>
      </c>
      <c r="G27" s="424">
        <f t="shared" si="9"/>
        <v>0.33333333333333331</v>
      </c>
      <c r="H27" s="424">
        <v>0.75</v>
      </c>
      <c r="I27" s="425">
        <v>1</v>
      </c>
      <c r="J27" s="425">
        <f t="shared" si="1"/>
        <v>9</v>
      </c>
      <c r="K27" s="425">
        <f t="shared" si="10"/>
        <v>0</v>
      </c>
      <c r="L27" s="426">
        <f>E27-B14</f>
        <v>0</v>
      </c>
      <c r="M27" s="423">
        <f>(D14/60)*0</f>
        <v>0</v>
      </c>
      <c r="N27" s="427">
        <f>IFERROR(J27*IF(AND(ISNUMBER(SEARCH(TEXT(C27,"ddd"),$G$11)),Data!$F$2),$G$14,$D$14)+K27*$G$14,"")</f>
        <v>780.57692307692309</v>
      </c>
      <c r="O27" s="141">
        <f t="shared" si="2"/>
        <v>780.57692307692309</v>
      </c>
      <c r="P27" s="127"/>
      <c r="Q27" s="89"/>
    </row>
    <row r="28" spans="2:34">
      <c r="B28" s="432">
        <v>10</v>
      </c>
      <c r="C28" s="429">
        <f t="shared" si="3"/>
        <v>46287</v>
      </c>
      <c r="D28" s="430">
        <f t="shared" si="3"/>
        <v>46287</v>
      </c>
      <c r="E28" s="424">
        <v>0.33333333333333331</v>
      </c>
      <c r="F28" s="424">
        <v>0</v>
      </c>
      <c r="G28" s="424">
        <f t="shared" ref="G28" si="11">E28-F28</f>
        <v>0.33333333333333331</v>
      </c>
      <c r="H28" s="424">
        <v>0.75</v>
      </c>
      <c r="I28" s="425">
        <v>1</v>
      </c>
      <c r="J28" s="425">
        <f t="shared" si="1"/>
        <v>9</v>
      </c>
      <c r="K28" s="425">
        <f t="shared" ref="K28" si="12">IF(AND(G28&lt;&gt;"",H28&lt;&gt;""),((IF(G28&lt;$B$14,MIN($B$14-G28,H28-G28),0)+IF(H28&gt;$B$14+TIME($C$14,($C$14-INT($C$14))*60,0),MIN((H28-$B$14-TIME($C$14,($C$14-INT($C$14))*60,0)),(H28-G28)),0))*24),"")</f>
        <v>0</v>
      </c>
      <c r="L28" s="426">
        <f>E28-B14</f>
        <v>0</v>
      </c>
      <c r="M28" s="423">
        <f>(D14/60)*0</f>
        <v>0</v>
      </c>
      <c r="N28" s="427">
        <f>IFERROR(J28*IF(AND(ISNUMBER(SEARCH(TEXT(C28,"ddd"),$G$11)),Data!$F$2),$G$14,$D$14)+K28*$G$14,"")</f>
        <v>780.57692307692309</v>
      </c>
      <c r="O28" s="141">
        <f t="shared" si="2"/>
        <v>780.57692307692309</v>
      </c>
      <c r="Q28" s="89"/>
    </row>
    <row r="29" spans="2:34">
      <c r="B29" s="432">
        <v>11</v>
      </c>
      <c r="C29" s="429">
        <f t="shared" si="3"/>
        <v>46288</v>
      </c>
      <c r="D29" s="430">
        <f t="shared" si="3"/>
        <v>46288</v>
      </c>
      <c r="E29" s="424">
        <v>0.33333333333333331</v>
      </c>
      <c r="F29" s="424">
        <v>0</v>
      </c>
      <c r="G29" s="424">
        <f t="shared" si="9"/>
        <v>0.33333333333333331</v>
      </c>
      <c r="H29" s="424">
        <v>0.75</v>
      </c>
      <c r="I29" s="425">
        <v>1</v>
      </c>
      <c r="J29" s="425">
        <f t="shared" si="1"/>
        <v>9</v>
      </c>
      <c r="K29" s="425">
        <f t="shared" si="4"/>
        <v>0</v>
      </c>
      <c r="L29" s="426">
        <f>E29-B14</f>
        <v>0</v>
      </c>
      <c r="M29" s="423">
        <f>(D14/60)*0</f>
        <v>0</v>
      </c>
      <c r="N29" s="427">
        <f>IFERROR(J29*IF(AND(ISNUMBER(SEARCH(TEXT(C29,"ddd"),$G$11)),Data!$F$2),$G$14,$D$14)+K29*$G$14,"")</f>
        <v>780.57692307692309</v>
      </c>
      <c r="O29" s="141">
        <f>M29+N29</f>
        <v>780.57692307692309</v>
      </c>
      <c r="P29" s="95">
        <f>O28-O29</f>
        <v>0</v>
      </c>
      <c r="Q29" s="89"/>
    </row>
    <row r="30" spans="2:34">
      <c r="B30" s="432">
        <v>12</v>
      </c>
      <c r="C30" s="429">
        <f t="shared" si="3"/>
        <v>46289</v>
      </c>
      <c r="D30" s="430">
        <f t="shared" si="3"/>
        <v>46289</v>
      </c>
      <c r="E30" s="424">
        <v>0.54166666666666663</v>
      </c>
      <c r="F30" s="424">
        <v>0</v>
      </c>
      <c r="G30" s="424">
        <f>E30-F30</f>
        <v>0.54166666666666663</v>
      </c>
      <c r="H30" s="424">
        <v>0.75</v>
      </c>
      <c r="I30" s="425">
        <v>0</v>
      </c>
      <c r="J30" s="425">
        <f t="shared" si="1"/>
        <v>5.0000000000000009</v>
      </c>
      <c r="K30" s="425">
        <v>0</v>
      </c>
      <c r="L30" s="426">
        <f>E30-B14</f>
        <v>0.20833333333333331</v>
      </c>
      <c r="M30" s="423">
        <f>(D14/60)*240</f>
        <v>346.92307692307691</v>
      </c>
      <c r="N30" s="427">
        <f>IFERROR(J30*IF(AND(ISNUMBER(SEARCH(TEXT(C30,"ddd"),$G$11)),Data!$F$2),$G$14,$D$14)+K30*$G$14,"")</f>
        <v>433.65384615384619</v>
      </c>
      <c r="O30" s="141">
        <f t="shared" si="2"/>
        <v>780.57692307692309</v>
      </c>
      <c r="P30" s="127"/>
      <c r="Q30" s="89"/>
    </row>
    <row r="31" spans="2:34">
      <c r="B31" s="432">
        <v>13</v>
      </c>
      <c r="C31" s="429">
        <f t="shared" si="3"/>
        <v>46290</v>
      </c>
      <c r="D31" s="430">
        <f t="shared" si="3"/>
        <v>46290</v>
      </c>
      <c r="E31" s="424">
        <v>0.33333333333333331</v>
      </c>
      <c r="F31" s="424">
        <v>0</v>
      </c>
      <c r="G31" s="424">
        <f>E31-F31</f>
        <v>0.33333333333333331</v>
      </c>
      <c r="H31" s="424">
        <v>0.75</v>
      </c>
      <c r="I31" s="425">
        <v>1</v>
      </c>
      <c r="J31" s="425">
        <f t="shared" si="1"/>
        <v>9</v>
      </c>
      <c r="K31" s="425">
        <v>0</v>
      </c>
      <c r="L31" s="426">
        <f>E31-B14</f>
        <v>0</v>
      </c>
      <c r="M31" s="423">
        <f>(D15/60)*0</f>
        <v>0</v>
      </c>
      <c r="N31" s="427">
        <f>IFERROR(J31*IF(AND(ISNUMBER(SEARCH(TEXT(C31,"ddd"),$G$11)),Data!$F$2),$G$14,$D$14)+K31*$G$14,"")</f>
        <v>780.57692307692309</v>
      </c>
      <c r="O31" s="141">
        <f>M31+N31</f>
        <v>780.57692307692309</v>
      </c>
      <c r="P31" s="95">
        <f>O28-O31</f>
        <v>0</v>
      </c>
    </row>
    <row r="32" spans="2:34">
      <c r="B32" s="441"/>
      <c r="C32" s="442"/>
      <c r="D32" s="443"/>
      <c r="E32" s="444"/>
      <c r="F32" s="444"/>
      <c r="G32" s="593" t="s">
        <v>182</v>
      </c>
      <c r="H32" s="594"/>
      <c r="I32" s="445">
        <f>SUM(I17:I31)</f>
        <v>7</v>
      </c>
      <c r="J32" s="445">
        <f>SUM(J17:J31)</f>
        <v>71.883333333333326</v>
      </c>
      <c r="K32" s="445">
        <f>SUM(K17:K31)</f>
        <v>0</v>
      </c>
      <c r="L32" s="446">
        <f>SUM(L17:L31)</f>
        <v>0.22291666666666671</v>
      </c>
      <c r="M32" s="447">
        <f>SUM(M17:M31)</f>
        <v>2892.4711538461543</v>
      </c>
      <c r="N32" s="441"/>
      <c r="O32" s="165">
        <f>SUM(O17:O31)</f>
        <v>9126.9679487179492</v>
      </c>
      <c r="P32" s="165">
        <f>SUM(P17:P31)</f>
        <v>-20.237179487179446</v>
      </c>
      <c r="Q32" s="95">
        <f>O32+P32</f>
        <v>9106.7307692307695</v>
      </c>
    </row>
    <row r="33" spans="2:17">
      <c r="B33" s="441"/>
      <c r="C33" s="442"/>
      <c r="D33" s="443"/>
      <c r="E33" s="444"/>
      <c r="F33" s="444"/>
      <c r="G33" s="459" t="s">
        <v>39</v>
      </c>
      <c r="H33" s="460"/>
      <c r="I33" s="461"/>
      <c r="J33" s="462"/>
      <c r="K33" s="463"/>
      <c r="L33" s="471">
        <f>(D14/60)*306</f>
        <v>442.32692307692309</v>
      </c>
      <c r="M33" s="465"/>
      <c r="N33" s="466">
        <f>D14*H14</f>
        <v>9106.7307692307695</v>
      </c>
      <c r="O33" s="95"/>
      <c r="P33" s="95"/>
      <c r="Q33" s="95"/>
    </row>
    <row r="34" spans="2:17">
      <c r="B34" s="467"/>
      <c r="C34" s="467"/>
      <c r="D34" s="468"/>
      <c r="E34" s="468"/>
      <c r="F34" s="468"/>
      <c r="G34" s="607" t="s">
        <v>183</v>
      </c>
      <c r="H34" s="607"/>
      <c r="I34" s="445"/>
      <c r="J34" s="445">
        <f>H14-J32</f>
        <v>33.116666666666674</v>
      </c>
      <c r="K34" s="467"/>
      <c r="L34" s="469"/>
      <c r="M34" s="467"/>
      <c r="N34" s="470">
        <f>M32</f>
        <v>2892.4711538461543</v>
      </c>
      <c r="O34" s="151">
        <f>O32-O33</f>
        <v>9126.9679487179492</v>
      </c>
      <c r="P34" s="95"/>
      <c r="Q34" s="95"/>
    </row>
    <row r="35" spans="2:17">
      <c r="B35" s="467"/>
      <c r="C35" s="467"/>
      <c r="D35" s="468"/>
      <c r="E35" s="475"/>
      <c r="F35" s="475"/>
      <c r="G35" s="473" t="s">
        <v>41</v>
      </c>
      <c r="H35" s="474"/>
      <c r="I35" s="441"/>
      <c r="J35" s="441"/>
      <c r="K35" s="445"/>
      <c r="L35" s="445"/>
      <c r="M35" s="445"/>
      <c r="N35" s="470">
        <f>N33-N34</f>
        <v>6214.2596153846152</v>
      </c>
      <c r="O35" s="95"/>
      <c r="P35" s="95"/>
      <c r="Q35" s="95"/>
    </row>
    <row r="36" spans="2:17">
      <c r="B36" s="467"/>
      <c r="C36" s="467"/>
      <c r="D36" s="468"/>
      <c r="E36" s="476"/>
      <c r="F36" s="476"/>
      <c r="G36" s="608" t="s">
        <v>184</v>
      </c>
      <c r="H36" s="609"/>
      <c r="I36" s="445"/>
      <c r="J36" s="441"/>
      <c r="K36" s="477"/>
      <c r="L36" s="477"/>
      <c r="M36" s="477"/>
      <c r="N36" s="478">
        <f>K32*G14</f>
        <v>0</v>
      </c>
      <c r="O36" s="95"/>
    </row>
    <row r="37" spans="2:17">
      <c r="B37" s="467"/>
      <c r="C37" s="467"/>
      <c r="D37" s="468"/>
      <c r="E37" s="476"/>
      <c r="F37" s="476"/>
      <c r="G37" s="479" t="s">
        <v>185</v>
      </c>
      <c r="H37" s="480"/>
      <c r="I37" s="445"/>
      <c r="J37" s="441"/>
      <c r="K37" s="477"/>
      <c r="L37" s="477"/>
      <c r="M37" s="477"/>
      <c r="N37" s="478">
        <f>-N53</f>
        <v>0</v>
      </c>
      <c r="O37" s="95"/>
    </row>
    <row r="38" spans="2:17">
      <c r="B38" s="467"/>
      <c r="C38" s="467"/>
      <c r="D38" s="468"/>
      <c r="E38" s="475"/>
      <c r="F38" s="475"/>
      <c r="G38" s="593" t="s">
        <v>186</v>
      </c>
      <c r="H38" s="594"/>
      <c r="I38" s="441"/>
      <c r="J38" s="441"/>
      <c r="K38" s="441"/>
      <c r="L38" s="441"/>
      <c r="M38" s="441"/>
      <c r="N38" s="481">
        <f>N35+N36+N37</f>
        <v>6214.2596153846152</v>
      </c>
      <c r="O38" s="95"/>
    </row>
    <row r="39" spans="2:17">
      <c r="D39" s="88"/>
      <c r="E39" s="88"/>
      <c r="F39" s="88"/>
      <c r="G39" s="589"/>
      <c r="H39" s="589"/>
      <c r="I39" s="90"/>
      <c r="J39" s="90"/>
      <c r="K39" s="125"/>
      <c r="L39" s="125"/>
      <c r="M39" s="125"/>
      <c r="N39" s="126"/>
      <c r="O39" s="127"/>
    </row>
    <row r="40" spans="2:17">
      <c r="D40" s="91"/>
      <c r="E40" s="91"/>
      <c r="F40" s="91"/>
      <c r="M40" t="s">
        <v>196</v>
      </c>
    </row>
    <row r="41" spans="2:17">
      <c r="B41" s="590" t="s">
        <v>187</v>
      </c>
      <c r="C41" s="590"/>
      <c r="D41" s="590"/>
      <c r="E41" s="590"/>
      <c r="F41" s="590"/>
      <c r="G41" s="590"/>
      <c r="H41" s="590"/>
      <c r="I41" s="590"/>
      <c r="J41" s="590"/>
      <c r="K41" s="590"/>
      <c r="L41" s="590"/>
      <c r="M41" s="590"/>
      <c r="N41" s="590"/>
    </row>
    <row r="42" spans="2:17">
      <c r="D42" s="91"/>
      <c r="E42" s="91"/>
      <c r="F42" s="91"/>
    </row>
    <row r="43" spans="2:17">
      <c r="D43" s="91" t="s">
        <v>188</v>
      </c>
      <c r="E43" s="91"/>
      <c r="F43" s="91"/>
      <c r="N43" s="95"/>
    </row>
    <row r="44" spans="2:17">
      <c r="D44" s="54" t="s">
        <v>10</v>
      </c>
      <c r="E44" s="54"/>
      <c r="F44" s="54"/>
      <c r="G44" s="54" t="s">
        <v>11</v>
      </c>
      <c r="H44" s="54" t="s">
        <v>12</v>
      </c>
      <c r="I44" s="55" t="s">
        <v>13</v>
      </c>
    </row>
    <row r="45" spans="2:17">
      <c r="D45" s="56">
        <v>2026</v>
      </c>
      <c r="E45" s="56"/>
      <c r="F45" s="56"/>
      <c r="G45" s="56" t="s">
        <v>204</v>
      </c>
      <c r="H45" s="56">
        <v>12</v>
      </c>
      <c r="I45" s="56" t="s">
        <v>15</v>
      </c>
    </row>
    <row r="46" spans="2:17">
      <c r="D46" s="57"/>
      <c r="E46" s="57"/>
      <c r="F46" s="57"/>
      <c r="G46" s="57"/>
    </row>
    <row r="47" spans="2:17" ht="33.75">
      <c r="D47" s="159" t="s">
        <v>16</v>
      </c>
      <c r="E47" s="159"/>
      <c r="F47" s="159"/>
      <c r="G47" s="159" t="s">
        <v>17</v>
      </c>
      <c r="H47" s="159" t="s">
        <v>18</v>
      </c>
      <c r="I47" s="159" t="s">
        <v>19</v>
      </c>
    </row>
    <row r="48" spans="2:17">
      <c r="D48" s="61">
        <v>0.33333333333333298</v>
      </c>
      <c r="E48" s="61"/>
      <c r="F48" s="61"/>
      <c r="G48" s="62">
        <v>10</v>
      </c>
      <c r="H48" s="63">
        <f>D14</f>
        <v>86.730769230769226</v>
      </c>
      <c r="I48" s="130">
        <f>(H48*30%)+H48</f>
        <v>112.75</v>
      </c>
    </row>
    <row r="50" spans="3:14">
      <c r="C50" s="131" t="s">
        <v>20</v>
      </c>
      <c r="D50" s="131" t="s">
        <v>12</v>
      </c>
      <c r="E50" s="131"/>
      <c r="F50" s="131"/>
      <c r="G50" s="131" t="s">
        <v>21</v>
      </c>
      <c r="H50" s="131" t="s">
        <v>22</v>
      </c>
      <c r="I50" s="131" t="s">
        <v>23</v>
      </c>
      <c r="J50" s="131" t="s">
        <v>24</v>
      </c>
      <c r="K50" s="131" t="s">
        <v>25</v>
      </c>
      <c r="L50" s="131"/>
      <c r="M50" s="131"/>
      <c r="N50" s="131" t="s">
        <v>26</v>
      </c>
    </row>
    <row r="51" spans="3:14">
      <c r="C51" s="70" t="s">
        <v>353</v>
      </c>
      <c r="D51" s="71">
        <v>12</v>
      </c>
      <c r="E51" s="71"/>
      <c r="F51" s="71"/>
      <c r="G51" s="72">
        <v>0</v>
      </c>
      <c r="H51" s="72">
        <v>0</v>
      </c>
      <c r="I51" s="73">
        <v>0</v>
      </c>
      <c r="J51" s="73">
        <f>IFERROR(IF(AND(G51&lt;&gt;"",H51&lt;&gt;""),IF(G51&gt;$B$14+TIME($C$14,($C$14-INT($C$14))*60,0),0,IF(H51&gt;$B$14+TIME($C$14,($C$14-INT($C$14))*60,0),MIN(TIME($C$14,($C$14-INT($C$14))*60,0),($B$14+TIME($C$14,($C$14-INT($C$14))*60,0)-G51)),MIN(IF((H51-$B$14)&lt;0,0,(H51-$B$14)),(H51-G51))))*24,"")-I51,"")</f>
        <v>0</v>
      </c>
      <c r="K51" s="73">
        <f>IF(AND(G51&lt;&gt;"",H51&lt;&gt;""),((IF(G51&lt;$D$48,MIN($D$48-G51,H51-G51),0)+IF(H51&gt;$D$48+TIME($G$48,($G$48-INT($G$48))*60,0),MIN((H51-$D$48-TIME($G$48,($G$48-INT($G$48))*60,0)),(H51-G51)),0))*24),"")</f>
        <v>0</v>
      </c>
      <c r="L51" s="73"/>
      <c r="M51" s="73"/>
      <c r="N51" s="99">
        <f>J51*H48</f>
        <v>0</v>
      </c>
    </row>
    <row r="52" spans="3:14">
      <c r="C52" s="70"/>
      <c r="D52" s="71"/>
      <c r="E52" s="71"/>
      <c r="F52" s="71"/>
      <c r="G52" s="72"/>
      <c r="H52" s="72"/>
      <c r="I52" s="73"/>
      <c r="J52" s="73"/>
      <c r="K52" s="73"/>
      <c r="L52" s="73"/>
      <c r="M52" s="73"/>
      <c r="N52" s="99"/>
    </row>
    <row r="53" spans="3:14"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318">
        <f>SUM(N51:N52)</f>
        <v>0</v>
      </c>
    </row>
    <row r="54" spans="3:14">
      <c r="N54" s="138"/>
    </row>
    <row r="55" spans="3:14">
      <c r="C55" s="132" t="s">
        <v>190</v>
      </c>
      <c r="D55" s="132"/>
      <c r="N55" s="138"/>
    </row>
    <row r="56" spans="3:14">
      <c r="N56" s="138"/>
    </row>
    <row r="57" spans="3:14">
      <c r="N57" s="138"/>
    </row>
    <row r="58" spans="3:14">
      <c r="D58" s="591">
        <v>44981</v>
      </c>
      <c r="E58" s="591"/>
      <c r="F58" s="591"/>
      <c r="G58" s="88">
        <v>0</v>
      </c>
      <c r="H58" s="148" t="s">
        <v>280</v>
      </c>
      <c r="I58" s="254"/>
      <c r="N58" s="138"/>
    </row>
    <row r="59" spans="3:14">
      <c r="E59" s="88"/>
      <c r="F59" s="88"/>
      <c r="G59" s="256">
        <f>G58*H59</f>
        <v>0</v>
      </c>
      <c r="H59" s="253">
        <v>0.3</v>
      </c>
      <c r="I59" s="254"/>
      <c r="N59" s="138"/>
    </row>
    <row r="60" spans="3:14">
      <c r="E60" s="91"/>
      <c r="F60" s="91"/>
      <c r="G60" s="91"/>
      <c r="N60" s="138"/>
    </row>
    <row r="61" spans="3:14">
      <c r="E61" s="91"/>
      <c r="F61" s="91"/>
      <c r="G61" s="91"/>
      <c r="H61" s="257">
        <f>G59</f>
        <v>0</v>
      </c>
      <c r="N61" s="138"/>
    </row>
    <row r="62" spans="3:14">
      <c r="D62" s="132"/>
      <c r="E62" s="132"/>
      <c r="F62" s="132"/>
      <c r="G62" s="133"/>
      <c r="H62" s="133"/>
      <c r="I62" s="133"/>
    </row>
    <row r="63" spans="3:14">
      <c r="D63" s="132"/>
      <c r="E63" s="132"/>
      <c r="F63" s="132"/>
      <c r="G63" s="133"/>
      <c r="H63" s="133"/>
      <c r="I63" s="133"/>
    </row>
    <row r="64" spans="3:14">
      <c r="F64" s="132"/>
      <c r="G64" s="133"/>
      <c r="H64" s="133"/>
      <c r="I64" s="133"/>
    </row>
    <row r="65" spans="3:8">
      <c r="G65" s="606"/>
      <c r="H65" s="606"/>
    </row>
    <row r="68" spans="3:8">
      <c r="C68" s="91" t="s">
        <v>141</v>
      </c>
    </row>
    <row r="69" spans="3:8">
      <c r="C69" t="s">
        <v>66</v>
      </c>
    </row>
    <row r="70" spans="3:8">
      <c r="C70" s="91"/>
    </row>
  </sheetData>
  <mergeCells count="13">
    <mergeCell ref="G65:H65"/>
    <mergeCell ref="A6:N6"/>
    <mergeCell ref="C7:D7"/>
    <mergeCell ref="M7:O7"/>
    <mergeCell ref="C8:D8"/>
    <mergeCell ref="M8:O8"/>
    <mergeCell ref="G32:H32"/>
    <mergeCell ref="G34:H34"/>
    <mergeCell ref="G36:H36"/>
    <mergeCell ref="G38:H38"/>
    <mergeCell ref="G39:H39"/>
    <mergeCell ref="B41:N41"/>
    <mergeCell ref="D58:F58"/>
  </mergeCells>
  <conditionalFormatting sqref="C17:D17">
    <cfRule type="expression" dxfId="176" priority="100">
      <formula>ISNUMBER(SEARCH(TEXT($B17,"ddd"),$F$10))</formula>
    </cfRule>
  </conditionalFormatting>
  <conditionalFormatting sqref="C18:D31">
    <cfRule type="expression" dxfId="175" priority="102">
      <formula>ISNUMBER(SEARCH(TEXT($C18,"ddd"),$G$11))</formula>
    </cfRule>
  </conditionalFormatting>
  <conditionalFormatting sqref="C51:N52">
    <cfRule type="expression" dxfId="174" priority="18">
      <formula>ISNUMBER(SEARCH(TEXT($C51,"ddd"),$G$11))</formula>
    </cfRule>
  </conditionalFormatting>
  <conditionalFormatting sqref="E17:K31">
    <cfRule type="expression" dxfId="173" priority="1">
      <formula>ISNUMBER(SEARCH(TEXT($C17,"ddd"),$G$11))</formula>
    </cfRule>
  </conditionalFormatting>
  <conditionalFormatting sqref="N17:N31">
    <cfRule type="expression" dxfId="172" priority="101">
      <formula>ISNUMBER(SEARCH(TEXT($B17,"ddd"),$F$10))</formula>
    </cfRule>
  </conditionalFormatting>
  <dataValidations count="5">
    <dataValidation type="custom" allowBlank="1" showInputMessage="1" showErrorMessage="1" sqref="H51:H52 H17:H31" xr:uid="{00000000-0002-0000-2000-000000000000}">
      <formula1>AND($H17&lt;=1,ISNUMBER($H17),($H17&gt;=$G17))</formula1>
    </dataValidation>
    <dataValidation type="custom" allowBlank="1" showInputMessage="1" showErrorMessage="1" sqref="G51:G52 E17:G31" xr:uid="{00000000-0002-0000-2000-000001000000}">
      <formula1>AND($G17&lt;=1,ISNUMBER($G17))</formula1>
    </dataValidation>
    <dataValidation type="list" allowBlank="1" showInputMessage="1" showErrorMessage="1" sqref="E11:F11" xr:uid="{00000000-0002-0000-2000-000002000000}">
      <formula1>ACOMPAÑADO!DateCalc</formula1>
    </dataValidation>
    <dataValidation type="list" allowBlank="1" showInputMessage="1" showErrorMessage="1" sqref="D11 H45" xr:uid="{00000000-0002-0000-2000-000003000000}">
      <formula1>DateCalc</formula1>
    </dataValidation>
    <dataValidation type="list" allowBlank="1" showInputMessage="1" showErrorMessage="1" sqref="G11" xr:uid="{00000000-0002-0000-2000-000004000000}"/>
  </dataValidations>
  <pageMargins left="1.07083333333333" right="0.25" top="0.359722222222222" bottom="0.39791666666666697" header="0.29861111111111099" footer="0.29861111111111099"/>
  <pageSetup paperSize="9" scale="91" orientation="landscape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50881" r:id="rId4" name="Check Box 1">
              <controlPr defaultSize="0" print="0" autoPict="0">
                <anchor moveWithCells="1">
                  <from>
                    <xdr:col>7</xdr:col>
                    <xdr:colOff>180975</xdr:colOff>
                    <xdr:row>9</xdr:row>
                    <xdr:rowOff>28575</xdr:rowOff>
                  </from>
                  <to>
                    <xdr:col>8</xdr:col>
                    <xdr:colOff>571500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2000-000005000000}">
          <x14:formula1>
            <xm:f>Data!$B$2:$B$13</xm:f>
          </x14:formula1>
          <xm:sqref>C11 G45</xm:sqref>
        </x14:dataValidation>
        <x14:dataValidation type="list" allowBlank="1" showInputMessage="1" showErrorMessage="1" xr:uid="{00000000-0002-0000-2000-000006000000}">
          <x14:formula1>
            <xm:f>Data!$A$2:$A$15</xm:f>
          </x14:formula1>
          <xm:sqref>B11 D45:F45</xm:sqref>
        </x14:dataValidation>
        <x14:dataValidation type="list" allowBlank="1" showInputMessage="1" showErrorMessage="1" xr:uid="{00000000-0002-0000-2000-000007000000}">
          <x14:formula1>
            <xm:f>Data!$D$2:$D$16</xm:f>
          </x14:formula1>
          <xm:sqref>I45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5:AH84"/>
  <sheetViews>
    <sheetView showGridLines="0" showWhiteSpace="0" view="pageLayout" topLeftCell="A2" zoomScaleNormal="100" workbookViewId="0">
      <selection activeCell="E37" sqref="E37"/>
    </sheetView>
  </sheetViews>
  <sheetFormatPr defaultColWidth="9" defaultRowHeight="12.75"/>
  <cols>
    <col min="1" max="1" width="1.625" customWidth="1"/>
    <col min="2" max="2" width="5.375" customWidth="1"/>
    <col min="3" max="3" width="7.125" customWidth="1"/>
    <col min="4" max="6" width="7.625" customWidth="1"/>
    <col min="7" max="7" width="10.125" customWidth="1"/>
    <col min="8" max="8" width="9.625" customWidth="1"/>
    <col min="9" max="9" width="8.125" customWidth="1"/>
    <col min="10" max="10" width="10.125" customWidth="1"/>
    <col min="11" max="11" width="7.875" customWidth="1"/>
    <col min="12" max="12" width="10.125" customWidth="1"/>
    <col min="13" max="13" width="10.875" customWidth="1"/>
    <col min="14" max="14" width="12" customWidth="1"/>
    <col min="15" max="15" width="16.875" customWidth="1"/>
    <col min="18" max="18" width="11.125" customWidth="1"/>
  </cols>
  <sheetData>
    <row r="5" spans="1:15" ht="25.5" customHeight="1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15" s="47" customFormat="1" ht="25.5" customHeight="1">
      <c r="A6" s="603"/>
      <c r="B6" s="603"/>
      <c r="C6" s="603"/>
      <c r="D6" s="603"/>
      <c r="E6" s="603"/>
      <c r="F6" s="603"/>
      <c r="G6" s="603"/>
      <c r="H6" s="603"/>
      <c r="I6" s="603"/>
      <c r="J6" s="603"/>
      <c r="K6" s="603"/>
      <c r="L6" s="603"/>
      <c r="M6" s="603"/>
      <c r="N6" s="603"/>
    </row>
    <row r="7" spans="1:15" ht="18.75" customHeight="1">
      <c r="C7" s="527" t="s">
        <v>3</v>
      </c>
      <c r="D7" s="527"/>
      <c r="E7" s="49"/>
      <c r="F7" s="49"/>
      <c r="G7" s="50" t="s">
        <v>211</v>
      </c>
      <c r="H7" s="51"/>
      <c r="K7" s="49" t="s">
        <v>174</v>
      </c>
      <c r="M7" s="599" t="str">
        <f>PAALAN!L7</f>
        <v>September  11-25, 2026</v>
      </c>
      <c r="N7" s="599"/>
      <c r="O7" s="599"/>
    </row>
    <row r="8" spans="1:15" ht="18.75" customHeight="1">
      <c r="C8" s="527" t="s">
        <v>175</v>
      </c>
      <c r="D8" s="527"/>
      <c r="E8" s="49"/>
      <c r="F8" s="49"/>
      <c r="G8" s="50" t="s">
        <v>106</v>
      </c>
      <c r="H8" s="51"/>
      <c r="K8" s="49" t="s">
        <v>176</v>
      </c>
      <c r="L8" s="92"/>
      <c r="M8" s="600" t="str">
        <f>PAALAN!L8</f>
        <v>9/31/2026</v>
      </c>
      <c r="N8" s="600"/>
      <c r="O8" s="600"/>
    </row>
    <row r="9" spans="1:15">
      <c r="C9" s="52"/>
      <c r="D9" s="53"/>
      <c r="E9" s="53"/>
      <c r="F9" s="53"/>
      <c r="G9" s="53"/>
    </row>
    <row r="10" spans="1:15">
      <c r="B10" s="54" t="s">
        <v>10</v>
      </c>
      <c r="C10" s="54" t="s">
        <v>11</v>
      </c>
      <c r="D10" s="54" t="s">
        <v>12</v>
      </c>
      <c r="E10" s="54"/>
      <c r="F10" s="54"/>
      <c r="G10" s="55" t="s">
        <v>13</v>
      </c>
    </row>
    <row r="11" spans="1:15">
      <c r="B11" s="56">
        <v>2026</v>
      </c>
      <c r="C11" s="56" t="s">
        <v>177</v>
      </c>
      <c r="D11" s="56">
        <v>11</v>
      </c>
      <c r="E11" s="56"/>
      <c r="F11" s="56"/>
      <c r="G11" s="56" t="s">
        <v>178</v>
      </c>
    </row>
    <row r="12" spans="1:15">
      <c r="B12" s="57"/>
      <c r="C12" s="57"/>
      <c r="H12" s="57"/>
      <c r="K12" s="57"/>
      <c r="L12" s="57"/>
      <c r="M12" s="57"/>
    </row>
    <row r="13" spans="1:15" ht="32.1" customHeight="1">
      <c r="B13" s="159" t="s">
        <v>16</v>
      </c>
      <c r="C13" s="159" t="s">
        <v>17</v>
      </c>
      <c r="D13" s="159" t="s">
        <v>18</v>
      </c>
      <c r="E13" s="160"/>
      <c r="F13" s="160"/>
      <c r="G13" s="160" t="s">
        <v>19</v>
      </c>
      <c r="H13" s="161" t="s">
        <v>179</v>
      </c>
      <c r="L13" s="93"/>
      <c r="M13" s="93"/>
      <c r="N13" s="94"/>
    </row>
    <row r="14" spans="1:15">
      <c r="B14" s="61">
        <v>0.33333333333333331</v>
      </c>
      <c r="C14" s="62">
        <v>10</v>
      </c>
      <c r="D14" s="63">
        <f>(21040/26)/8</f>
        <v>101.15384615384616</v>
      </c>
      <c r="E14" s="142"/>
      <c r="F14" s="142"/>
      <c r="G14" s="64"/>
      <c r="H14" s="65">
        <v>104</v>
      </c>
      <c r="I14" s="95"/>
      <c r="L14" s="57"/>
      <c r="M14" s="57"/>
      <c r="N14" s="95"/>
    </row>
    <row r="15" spans="1:15">
      <c r="N15" s="96"/>
    </row>
    <row r="16" spans="1:15" ht="23.25">
      <c r="B16" s="66"/>
      <c r="C16" s="67" t="s">
        <v>20</v>
      </c>
      <c r="D16" s="67" t="s">
        <v>12</v>
      </c>
      <c r="E16" s="67"/>
      <c r="F16" s="67"/>
      <c r="G16" s="67" t="s">
        <v>21</v>
      </c>
      <c r="H16" s="67" t="s">
        <v>22</v>
      </c>
      <c r="I16" s="68" t="s">
        <v>23</v>
      </c>
      <c r="J16" s="68" t="s">
        <v>24</v>
      </c>
      <c r="K16" s="68" t="s">
        <v>25</v>
      </c>
      <c r="L16" s="67" t="s">
        <v>180</v>
      </c>
      <c r="M16" s="134" t="s">
        <v>181</v>
      </c>
      <c r="N16" s="67" t="s">
        <v>26</v>
      </c>
    </row>
    <row r="17" spans="2:34">
      <c r="B17" s="432">
        <v>1</v>
      </c>
      <c r="C17" s="429">
        <f>DATE($B$11,MATCH($C$11,Data!$B$2:$B$13,0),CONSUELO!$D$11)</f>
        <v>46276</v>
      </c>
      <c r="D17" s="430">
        <f>DATE($B$11,MATCH($C$11,Data!$B$2:$B$13,0),CONSUELO!$D$11)</f>
        <v>46276</v>
      </c>
      <c r="E17" s="424">
        <v>0.33958333333333335</v>
      </c>
      <c r="F17" s="424">
        <v>0</v>
      </c>
      <c r="G17" s="424">
        <f t="shared" ref="G17:G22" si="0">E17-F17</f>
        <v>0.33958333333333335</v>
      </c>
      <c r="H17" s="424">
        <v>0.75</v>
      </c>
      <c r="I17" s="425">
        <v>1</v>
      </c>
      <c r="J17" s="425">
        <f t="shared" ref="J17:J31" si="1">IFERROR(IF(AND(G17&lt;&gt;"",H17&lt;&gt;""),IF(G17&gt;$B$14+TIME($C$14,($C$14-INT($C$14))*60,0),0,IF(H17&gt;$B$14+TIME($C$14,($C$14-INT($C$14))*60,0),MIN(TIME($C$14,($C$14-INT($C$14))*60,0),($B$14+TIME($C$14,($C$14-INT($C$14))*60,0)-G17)),MIN(IF((H17-$B$14)&lt;0,0,(H17-$B$14)),(H17-G17))))*24,"")-I17,"")</f>
        <v>8.85</v>
      </c>
      <c r="K17" s="425">
        <v>0</v>
      </c>
      <c r="L17" s="426">
        <f>E17-B14</f>
        <v>6.2500000000000333E-3</v>
      </c>
      <c r="M17" s="423">
        <f>(D14/60)*0</f>
        <v>0</v>
      </c>
      <c r="N17" s="427">
        <f>IFERROR(J17*IF(AND(ISNUMBER(SEARCH(TEXT(C17,"ddd"),$G$11)),Data!$F$2),$G$14,$D$14)+K17*$G$14,"")</f>
        <v>895.21153846153845</v>
      </c>
      <c r="O17" s="141">
        <f t="shared" ref="O17:O31" si="2">M17+N17</f>
        <v>895.21153846153845</v>
      </c>
      <c r="P17" s="100"/>
      <c r="Q17" s="89"/>
    </row>
    <row r="18" spans="2:34">
      <c r="B18" s="432">
        <v>2</v>
      </c>
      <c r="C18" s="429">
        <f t="shared" ref="C18:D31" si="3">C17+1</f>
        <v>46277</v>
      </c>
      <c r="D18" s="430">
        <f t="shared" si="3"/>
        <v>46277</v>
      </c>
      <c r="E18" s="424">
        <v>0</v>
      </c>
      <c r="F18" s="424">
        <v>0</v>
      </c>
      <c r="G18" s="424">
        <f t="shared" si="0"/>
        <v>0</v>
      </c>
      <c r="H18" s="424">
        <v>0</v>
      </c>
      <c r="I18" s="425">
        <v>0</v>
      </c>
      <c r="J18" s="425">
        <f t="shared" si="1"/>
        <v>0</v>
      </c>
      <c r="K18" s="425">
        <f t="shared" ref="K18:K29" si="4">IF(AND(G18&lt;&gt;"",H18&lt;&gt;""),((IF(G18&lt;$B$14,MIN($B$14-G18,H18-G18),0)+IF(H18&gt;$B$14+TIME($C$14,($C$14-INT($C$14))*60,0),MIN((H18-$B$14-TIME($C$14,($C$14-INT($C$14))*60,0)),(H18-G18)),0))*24),"")</f>
        <v>0</v>
      </c>
      <c r="L18" s="426">
        <v>0</v>
      </c>
      <c r="M18" s="423">
        <f>(D14/60)*180</f>
        <v>303.46153846153845</v>
      </c>
      <c r="N18" s="427">
        <f>IFERROR(J18*IF(AND(ISNUMBER(SEARCH(TEXT(C18,"ddd"),$G$11)),Data!$F$2),$G$14,$D$14)+K18*$G$14,"")</f>
        <v>0</v>
      </c>
      <c r="O18" s="141">
        <f t="shared" si="2"/>
        <v>303.46153846153845</v>
      </c>
      <c r="P18" s="89"/>
      <c r="Q18" s="89"/>
    </row>
    <row r="19" spans="2:34">
      <c r="B19" s="432"/>
      <c r="C19" s="429">
        <f t="shared" si="3"/>
        <v>46278</v>
      </c>
      <c r="D19" s="430">
        <f t="shared" si="3"/>
        <v>46278</v>
      </c>
      <c r="E19" s="424">
        <v>0</v>
      </c>
      <c r="F19" s="424">
        <v>0</v>
      </c>
      <c r="G19" s="424">
        <f t="shared" ref="G19" si="5">E19-F19</f>
        <v>0</v>
      </c>
      <c r="H19" s="424">
        <v>0</v>
      </c>
      <c r="I19" s="425">
        <v>0</v>
      </c>
      <c r="J19" s="425">
        <f t="shared" ref="J19:J20" si="6">IFERROR(IF(AND(G19&lt;&gt;"",H19&lt;&gt;""),IF(G19&gt;$B$14+TIME($C$14,($C$14-INT($C$14))*60,0),0,IF(H19&gt;$B$14+TIME($C$14,($C$14-INT($C$14))*60,0),MIN(TIME($C$14,($C$14-INT($C$14))*60,0),($B$14+TIME($C$14,($C$14-INT($C$14))*60,0)-G19)),MIN(IF((H19-$B$14)&lt;0,0,(H19-$B$14)),(H19-G19))))*24,"")-I19,"")</f>
        <v>0</v>
      </c>
      <c r="K19" s="425">
        <f>IF(AND(G19&lt;&gt;"",H19&lt;&gt;""),((IF(G19&lt;$B$14,MIN($B$14-G19,H19-G19),0)+IF(H19&gt;$B$14+TIME($C$14,($C$14-INT($C$14))*60,0),MIN((H19-$B$14-TIME($C$14,($C$14-INT($C$14))*60,0)),(H19-G19)),0))*24),"")</f>
        <v>0</v>
      </c>
      <c r="L19" s="97">
        <v>0</v>
      </c>
      <c r="M19" s="98">
        <f>(D14/60)*0</f>
        <v>0</v>
      </c>
      <c r="N19" s="251">
        <f>IFERROR(J19*IF(AND(ISNUMBER(SEARCH(TEXT(C19,"ddd"),$G$11)),Data!$F$2),$G$14,$D$14)+K19*$G$14,"")</f>
        <v>0</v>
      </c>
      <c r="O19" s="141">
        <f t="shared" si="2"/>
        <v>0</v>
      </c>
      <c r="P19" s="100"/>
      <c r="Q19" s="104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</row>
    <row r="20" spans="2:34">
      <c r="B20" s="432">
        <v>3</v>
      </c>
      <c r="C20" s="429">
        <f t="shared" si="3"/>
        <v>46279</v>
      </c>
      <c r="D20" s="430">
        <f t="shared" si="3"/>
        <v>46279</v>
      </c>
      <c r="E20" s="424">
        <v>0.33819444444444446</v>
      </c>
      <c r="F20" s="424">
        <v>0</v>
      </c>
      <c r="G20" s="424">
        <f t="shared" si="0"/>
        <v>0.33819444444444446</v>
      </c>
      <c r="H20" s="424">
        <v>0.75</v>
      </c>
      <c r="I20" s="425">
        <v>1</v>
      </c>
      <c r="J20" s="425">
        <f t="shared" si="6"/>
        <v>8.8833333333333329</v>
      </c>
      <c r="K20" s="425">
        <v>0</v>
      </c>
      <c r="L20" s="426">
        <f>E20-B14</f>
        <v>4.8611111111111494E-3</v>
      </c>
      <c r="M20" s="423">
        <f>(D14/60)*0</f>
        <v>0</v>
      </c>
      <c r="N20" s="427">
        <f>IFERROR(J20*IF(AND(ISNUMBER(SEARCH(TEXT(C20,"ddd"),$G$11)),Data!$F$2),$G$14,$D$14)+K20*$G$14,"")</f>
        <v>898.58333333333337</v>
      </c>
      <c r="O20" s="141">
        <f t="shared" si="2"/>
        <v>898.58333333333337</v>
      </c>
      <c r="P20" s="103"/>
      <c r="Q20" s="103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28"/>
    </row>
    <row r="21" spans="2:34">
      <c r="B21" s="432">
        <v>4</v>
      </c>
      <c r="C21" s="429">
        <f t="shared" si="3"/>
        <v>46280</v>
      </c>
      <c r="D21" s="430">
        <f t="shared" si="3"/>
        <v>46280</v>
      </c>
      <c r="E21" s="424">
        <v>0.33541666666666664</v>
      </c>
      <c r="F21" s="424">
        <v>0</v>
      </c>
      <c r="G21" s="424">
        <f t="shared" si="0"/>
        <v>0.33541666666666664</v>
      </c>
      <c r="H21" s="424">
        <v>0.5</v>
      </c>
      <c r="I21" s="425">
        <v>0</v>
      </c>
      <c r="J21" s="425">
        <f t="shared" si="1"/>
        <v>3.9500000000000006</v>
      </c>
      <c r="K21" s="425">
        <f t="shared" si="4"/>
        <v>0</v>
      </c>
      <c r="L21" s="426">
        <f>E21-B14</f>
        <v>2.0833333333333259E-3</v>
      </c>
      <c r="M21" s="423">
        <f>(D14/60)*300</f>
        <v>505.76923076923077</v>
      </c>
      <c r="N21" s="427">
        <f>IFERROR(J21*IF(AND(ISNUMBER(SEARCH(TEXT(C21,"ddd"),$G$11)),Data!$F$2),$G$14,$D$14)+K21*$G$14,"")</f>
        <v>399.55769230769238</v>
      </c>
      <c r="O21" s="141">
        <f t="shared" si="2"/>
        <v>905.32692307692309</v>
      </c>
      <c r="P21" s="162"/>
      <c r="Q21" s="108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4"/>
    </row>
    <row r="22" spans="2:34">
      <c r="B22" s="432">
        <v>5</v>
      </c>
      <c r="C22" s="429">
        <f t="shared" si="3"/>
        <v>46281</v>
      </c>
      <c r="D22" s="430">
        <f t="shared" si="3"/>
        <v>46281</v>
      </c>
      <c r="E22" s="424">
        <v>0.54166666666666663</v>
      </c>
      <c r="F22" s="424">
        <v>0</v>
      </c>
      <c r="G22" s="424">
        <f t="shared" si="0"/>
        <v>0.54166666666666663</v>
      </c>
      <c r="H22" s="424">
        <v>0.75</v>
      </c>
      <c r="I22" s="425">
        <v>1</v>
      </c>
      <c r="J22" s="425">
        <f t="shared" si="1"/>
        <v>4.0000000000000009</v>
      </c>
      <c r="K22" s="425">
        <f t="shared" ref="K22:K23" si="7">IF(AND(G22&lt;&gt;"",H22&lt;&gt;""),((IF(G22&lt;$B$14,MIN($B$14-G22,H22-G22),0)+IF(H22&gt;$B$14+TIME($C$14,($C$14-INT($C$14))*60,0),MIN((H22-$B$14-TIME($C$14,($C$14-INT($C$14))*60,0)),(H22-G22)),0))*24),"")</f>
        <v>0</v>
      </c>
      <c r="L22" s="426">
        <v>0</v>
      </c>
      <c r="M22" s="423">
        <f>(D14/60)*240</f>
        <v>404.61538461538464</v>
      </c>
      <c r="N22" s="427">
        <f>IFERROR(J22*IF(AND(ISNUMBER(SEARCH(TEXT(C22,"ddd"),$G$11)),Data!$F$2),$G$14,$D$14)+K22*$G$14,"")</f>
        <v>404.61538461538476</v>
      </c>
      <c r="O22" s="141">
        <f t="shared" si="2"/>
        <v>809.2307692307694</v>
      </c>
      <c r="P22" s="163">
        <f>O21-O22</f>
        <v>96.096153846153697</v>
      </c>
      <c r="Q22" s="135"/>
      <c r="R22" s="96">
        <v>0.40486111111111101</v>
      </c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4"/>
    </row>
    <row r="23" spans="2:34">
      <c r="B23" s="432">
        <v>6</v>
      </c>
      <c r="C23" s="429">
        <f t="shared" si="3"/>
        <v>46282</v>
      </c>
      <c r="D23" s="430">
        <f t="shared" si="3"/>
        <v>46282</v>
      </c>
      <c r="E23" s="424">
        <v>0.34027777777777779</v>
      </c>
      <c r="F23" s="424">
        <v>0</v>
      </c>
      <c r="G23" s="424">
        <f t="shared" ref="G23:G24" si="8">E23-F23</f>
        <v>0.34027777777777779</v>
      </c>
      <c r="H23" s="424">
        <v>0.75</v>
      </c>
      <c r="I23" s="425">
        <v>1</v>
      </c>
      <c r="J23" s="425">
        <f t="shared" ref="J23:J24" si="9">IFERROR(IF(AND(G23&lt;&gt;"",H23&lt;&gt;""),IF(G23&gt;$B$14+TIME($C$14,($C$14-INT($C$14))*60,0),0,IF(H23&gt;$B$14+TIME($C$14,($C$14-INT($C$14))*60,0),MIN(TIME($C$14,($C$14-INT($C$14))*60,0),($B$14+TIME($C$14,($C$14-INT($C$14))*60,0)-G23)),MIN(IF((H23-$B$14)&lt;0,0,(H23-$B$14)),(H23-G23))))*24,"")-I23,"")</f>
        <v>8.8333333333333321</v>
      </c>
      <c r="K23" s="425">
        <f t="shared" si="7"/>
        <v>0</v>
      </c>
      <c r="L23" s="426">
        <f>G23-B14</f>
        <v>6.9444444444444753E-3</v>
      </c>
      <c r="M23" s="423">
        <f>(D14/60)*0</f>
        <v>0</v>
      </c>
      <c r="N23" s="427">
        <f>IFERROR(J23*IF(AND(ISNUMBER(SEARCH(TEXT(C23,"ddd"),$G$11)),Data!$F$2),$G$14,$D$14)+K23*$G$14,"")</f>
        <v>893.52564102564099</v>
      </c>
      <c r="O23" s="141">
        <f t="shared" si="2"/>
        <v>893.52564102564099</v>
      </c>
      <c r="P23" s="150"/>
      <c r="Q23" s="89"/>
      <c r="R23" s="96">
        <v>1.0416666666666701E-2</v>
      </c>
    </row>
    <row r="24" spans="2:34">
      <c r="B24" s="432">
        <v>7</v>
      </c>
      <c r="C24" s="429">
        <f t="shared" si="3"/>
        <v>46283</v>
      </c>
      <c r="D24" s="430">
        <f t="shared" si="3"/>
        <v>46283</v>
      </c>
      <c r="E24" s="424">
        <v>0.37083333333333335</v>
      </c>
      <c r="F24" s="424">
        <v>0</v>
      </c>
      <c r="G24" s="424">
        <f t="shared" si="8"/>
        <v>0.37083333333333335</v>
      </c>
      <c r="H24" s="424">
        <v>0.75</v>
      </c>
      <c r="I24" s="425">
        <v>0</v>
      </c>
      <c r="J24" s="425">
        <f t="shared" si="9"/>
        <v>9.1</v>
      </c>
      <c r="K24" s="425">
        <v>0</v>
      </c>
      <c r="L24" s="426">
        <f>E24-B14</f>
        <v>3.7500000000000033E-2</v>
      </c>
      <c r="M24" s="423">
        <f>(D14/60)*0</f>
        <v>0</v>
      </c>
      <c r="N24" s="427">
        <f>IFERROR(J24*IF(AND(ISNUMBER(SEARCH(TEXT(C24,"ddd"),$G$11)),Data!$F$2),$G$14,$D$14)+K24*$G$14,"")</f>
        <v>920.5</v>
      </c>
      <c r="O24" s="141">
        <f t="shared" si="2"/>
        <v>920.5</v>
      </c>
      <c r="P24" s="155"/>
      <c r="Q24" s="89"/>
      <c r="R24" s="129">
        <f>R22-R23</f>
        <v>0.39444444444444432</v>
      </c>
    </row>
    <row r="25" spans="2:34">
      <c r="B25" s="432">
        <v>8</v>
      </c>
      <c r="C25" s="429">
        <f t="shared" si="3"/>
        <v>46284</v>
      </c>
      <c r="D25" s="430">
        <f t="shared" si="3"/>
        <v>46284</v>
      </c>
      <c r="E25" s="424">
        <v>0.375</v>
      </c>
      <c r="F25" s="424">
        <v>0</v>
      </c>
      <c r="G25" s="424">
        <f t="shared" ref="G25:G29" si="10">E25-F25</f>
        <v>0.375</v>
      </c>
      <c r="H25" s="424">
        <v>0.5</v>
      </c>
      <c r="I25" s="425">
        <v>0</v>
      </c>
      <c r="J25" s="425">
        <f t="shared" si="1"/>
        <v>3</v>
      </c>
      <c r="K25" s="425">
        <f t="shared" si="4"/>
        <v>0</v>
      </c>
      <c r="L25" s="426">
        <f>E25-B14</f>
        <v>4.1666666666666685E-2</v>
      </c>
      <c r="M25" s="423">
        <f>(D14/60)*0</f>
        <v>0</v>
      </c>
      <c r="N25" s="427">
        <f>IFERROR(J25*IF(AND(ISNUMBER(SEARCH(TEXT(C25,"ddd"),$G$11)),Data!$F$2),$G$14,$D$14)+K25*$G$14,"")</f>
        <v>303.46153846153845</v>
      </c>
      <c r="O25" s="141">
        <f t="shared" si="2"/>
        <v>303.46153846153845</v>
      </c>
      <c r="P25" s="89"/>
      <c r="Q25" s="89"/>
    </row>
    <row r="26" spans="2:34">
      <c r="B26" s="432"/>
      <c r="C26" s="429">
        <f t="shared" si="3"/>
        <v>46285</v>
      </c>
      <c r="D26" s="430">
        <f t="shared" si="3"/>
        <v>46285</v>
      </c>
      <c r="E26" s="424">
        <v>0</v>
      </c>
      <c r="F26" s="424">
        <v>0</v>
      </c>
      <c r="G26" s="424">
        <f t="shared" si="10"/>
        <v>0</v>
      </c>
      <c r="H26" s="424">
        <v>0</v>
      </c>
      <c r="I26" s="425">
        <v>0</v>
      </c>
      <c r="J26" s="425">
        <f t="shared" ref="J26:J27" si="11">IFERROR(IF(AND(G26&lt;&gt;"",H26&lt;&gt;""),IF(G26&gt;$B$14+TIME($C$14,($C$14-INT($C$14))*60,0),0,IF(H26&gt;$B$14+TIME($C$14,($C$14-INT($C$14))*60,0),MIN(TIME($C$14,($C$14-INT($C$14))*60,0),($B$14+TIME($C$14,($C$14-INT($C$14))*60,0)-G26)),MIN(IF((H26-$B$14)&lt;0,0,(H26-$B$14)),(H26-G26))))*24,"")-I26,"")</f>
        <v>0</v>
      </c>
      <c r="K26" s="425">
        <f t="shared" ref="K26:K27" si="12">IF(AND(G26&lt;&gt;"",H26&lt;&gt;""),((IF(G26&lt;$B$14,MIN($B$14-G26,H26-G26),0)+IF(H26&gt;$B$14+TIME($C$14,($C$14-INT($C$14))*60,0),MIN((H26-$B$14-TIME($C$14,($C$14-INT($C$14))*60,0)),(H26-G26)),0))*24),"")</f>
        <v>0</v>
      </c>
      <c r="L26" s="97">
        <v>0</v>
      </c>
      <c r="M26" s="98">
        <f>(D14/60)*0</f>
        <v>0</v>
      </c>
      <c r="N26" s="251">
        <f>IFERROR(J26*IF(AND(ISNUMBER(SEARCH(TEXT(C26,"ddd"),$G$11)),Data!$F$2),$G$14,$D$14)+K26*$G$14,"")</f>
        <v>0</v>
      </c>
      <c r="O26" s="141">
        <f t="shared" si="2"/>
        <v>0</v>
      </c>
      <c r="P26" s="89"/>
      <c r="Q26" s="89"/>
    </row>
    <row r="27" spans="2:34">
      <c r="B27" s="432">
        <v>9</v>
      </c>
      <c r="C27" s="429">
        <f t="shared" si="3"/>
        <v>46286</v>
      </c>
      <c r="D27" s="430">
        <f t="shared" si="3"/>
        <v>46286</v>
      </c>
      <c r="E27" s="424">
        <v>0.34305555555555556</v>
      </c>
      <c r="F27" s="424">
        <v>0</v>
      </c>
      <c r="G27" s="424">
        <f t="shared" si="10"/>
        <v>0.34305555555555556</v>
      </c>
      <c r="H27" s="424">
        <v>0.75</v>
      </c>
      <c r="I27" s="425">
        <v>1</v>
      </c>
      <c r="J27" s="425">
        <f t="shared" si="11"/>
        <v>8.7666666666666657</v>
      </c>
      <c r="K27" s="425">
        <f t="shared" si="12"/>
        <v>0</v>
      </c>
      <c r="L27" s="426">
        <f>E27-B14</f>
        <v>9.7222222222222432E-3</v>
      </c>
      <c r="M27" s="423">
        <f>(D14/60)*0</f>
        <v>0</v>
      </c>
      <c r="N27" s="427">
        <f>IFERROR(J27*IF(AND(ISNUMBER(SEARCH(TEXT(C27,"ddd"),$G$11)),Data!$F$2),$G$14,$D$14)+K27*$G$14,"")</f>
        <v>886.78205128205127</v>
      </c>
      <c r="O27" s="141">
        <f t="shared" si="2"/>
        <v>886.78205128205127</v>
      </c>
      <c r="P27" s="127"/>
      <c r="Q27" s="89"/>
    </row>
    <row r="28" spans="2:34">
      <c r="B28" s="432">
        <v>10</v>
      </c>
      <c r="C28" s="429">
        <f t="shared" si="3"/>
        <v>46287</v>
      </c>
      <c r="D28" s="430">
        <f t="shared" si="3"/>
        <v>46287</v>
      </c>
      <c r="E28" s="424">
        <v>0.54166666666666663</v>
      </c>
      <c r="F28" s="424">
        <v>0</v>
      </c>
      <c r="G28" s="424">
        <f t="shared" ref="G28" si="13">E28-F28</f>
        <v>0.54166666666666663</v>
      </c>
      <c r="H28" s="424">
        <v>0.75</v>
      </c>
      <c r="I28" s="425">
        <v>0</v>
      </c>
      <c r="J28" s="425">
        <f t="shared" ref="J28" si="14">IFERROR(IF(AND(G28&lt;&gt;"",H28&lt;&gt;""),IF(G28&gt;$B$14+TIME($C$14,($C$14-INT($C$14))*60,0),0,IF(H28&gt;$B$14+TIME($C$14,($C$14-INT($C$14))*60,0),MIN(TIME($C$14,($C$14-INT($C$14))*60,0),($B$14+TIME($C$14,($C$14-INT($C$14))*60,0)-G28)),MIN(IF((H28-$B$14)&lt;0,0,(H28-$B$14)),(H28-G28))))*24,"")-I28,"")</f>
        <v>5.0000000000000009</v>
      </c>
      <c r="K28" s="425">
        <f t="shared" ref="K28" si="15">IF(AND(G28&lt;&gt;"",H28&lt;&gt;""),((IF(G28&lt;$B$14,MIN($B$14-G28,H28-G28),0)+IF(H28&gt;$B$14+TIME($C$14,($C$14-INT($C$14))*60,0),MIN((H28-$B$14-TIME($C$14,($C$14-INT($C$14))*60,0)),(H28-G28)),0))*24),"")</f>
        <v>0</v>
      </c>
      <c r="L28" s="426">
        <v>0</v>
      </c>
      <c r="M28" s="423">
        <f>(D14/60)*240</f>
        <v>404.61538461538464</v>
      </c>
      <c r="N28" s="427">
        <f>IFERROR(J28*IF(AND(ISNUMBER(SEARCH(TEXT(C28,"ddd"),$G$11)),Data!$F$2),$G$14,$D$14)+K28*$G$14,"")</f>
        <v>505.76923076923089</v>
      </c>
      <c r="O28" s="141">
        <f t="shared" si="2"/>
        <v>910.38461538461547</v>
      </c>
      <c r="Q28" s="89"/>
    </row>
    <row r="29" spans="2:34">
      <c r="B29" s="432">
        <v>11</v>
      </c>
      <c r="C29" s="429">
        <f t="shared" si="3"/>
        <v>46288</v>
      </c>
      <c r="D29" s="430">
        <f t="shared" si="3"/>
        <v>46288</v>
      </c>
      <c r="E29" s="424">
        <v>0.34583333333333333</v>
      </c>
      <c r="F29" s="424">
        <v>0</v>
      </c>
      <c r="G29" s="424">
        <f t="shared" si="10"/>
        <v>0.34583333333333333</v>
      </c>
      <c r="H29" s="424">
        <v>0.75</v>
      </c>
      <c r="I29" s="425">
        <v>1</v>
      </c>
      <c r="J29" s="425">
        <f t="shared" si="1"/>
        <v>8.6999999999999993</v>
      </c>
      <c r="K29" s="425">
        <f t="shared" si="4"/>
        <v>0</v>
      </c>
      <c r="L29" s="426">
        <f>E29-B14</f>
        <v>1.2500000000000011E-2</v>
      </c>
      <c r="M29" s="423">
        <f>(D14/60)*0</f>
        <v>0</v>
      </c>
      <c r="N29" s="427">
        <f>IFERROR(J29*IF(AND(ISNUMBER(SEARCH(TEXT(C29,"ddd"),$G$11)),Data!$F$2),$G$14,$D$14)+K29*$G$14,"")</f>
        <v>880.03846153846155</v>
      </c>
      <c r="O29" s="141">
        <f t="shared" si="2"/>
        <v>880.03846153846155</v>
      </c>
      <c r="P29" s="95">
        <f>O28-O29</f>
        <v>30.346153846153925</v>
      </c>
      <c r="Q29" s="89"/>
    </row>
    <row r="30" spans="2:34">
      <c r="B30" s="432">
        <v>12</v>
      </c>
      <c r="C30" s="429">
        <f t="shared" si="3"/>
        <v>46289</v>
      </c>
      <c r="D30" s="430">
        <f t="shared" si="3"/>
        <v>46289</v>
      </c>
      <c r="E30" s="424">
        <v>0.54166666666666663</v>
      </c>
      <c r="F30" s="424">
        <v>0</v>
      </c>
      <c r="G30" s="424">
        <f>E30-F30</f>
        <v>0.54166666666666663</v>
      </c>
      <c r="H30" s="424">
        <v>0.75</v>
      </c>
      <c r="I30" s="425">
        <v>0</v>
      </c>
      <c r="J30" s="425">
        <f t="shared" si="1"/>
        <v>5.0000000000000009</v>
      </c>
      <c r="K30" s="425">
        <v>0</v>
      </c>
      <c r="L30" s="426">
        <f>E30-B14</f>
        <v>0.20833333333333331</v>
      </c>
      <c r="M30" s="423">
        <f>(D14/60)*240</f>
        <v>404.61538461538464</v>
      </c>
      <c r="N30" s="427">
        <f>IFERROR(J30*IF(AND(ISNUMBER(SEARCH(TEXT(C30,"ddd"),$G$11)),Data!$F$2),$G$14,$D$14)+K30*$G$14,"")</f>
        <v>505.76923076923089</v>
      </c>
      <c r="O30" s="141">
        <f t="shared" si="2"/>
        <v>910.38461538461547</v>
      </c>
      <c r="P30" s="127"/>
      <c r="Q30" s="89"/>
    </row>
    <row r="31" spans="2:34">
      <c r="B31" s="432">
        <v>13</v>
      </c>
      <c r="C31" s="429">
        <f t="shared" si="3"/>
        <v>46290</v>
      </c>
      <c r="D31" s="430">
        <f t="shared" si="3"/>
        <v>46290</v>
      </c>
      <c r="E31" s="424">
        <v>0.33333333333333331</v>
      </c>
      <c r="F31" s="424">
        <v>0</v>
      </c>
      <c r="G31" s="424">
        <f>E31-F31</f>
        <v>0.33333333333333331</v>
      </c>
      <c r="H31" s="424">
        <v>0.75</v>
      </c>
      <c r="I31" s="425">
        <v>1</v>
      </c>
      <c r="J31" s="425">
        <f t="shared" si="1"/>
        <v>9</v>
      </c>
      <c r="K31" s="425">
        <v>0</v>
      </c>
      <c r="L31" s="426">
        <f>E31-B14</f>
        <v>0</v>
      </c>
      <c r="M31" s="423">
        <f>(D14/60)*0</f>
        <v>0</v>
      </c>
      <c r="N31" s="427">
        <f>IFERROR(J31*IF(AND(ISNUMBER(SEARCH(TEXT(C31,"ddd"),$G$11)),Data!$F$2),$G$14,$D$14)+K31*$G$14,"")</f>
        <v>910.38461538461547</v>
      </c>
      <c r="O31" s="141">
        <f t="shared" si="2"/>
        <v>910.38461538461547</v>
      </c>
      <c r="P31" s="95">
        <f>O28-O31</f>
        <v>0</v>
      </c>
    </row>
    <row r="32" spans="2:34">
      <c r="B32" s="441"/>
      <c r="C32" s="442"/>
      <c r="D32" s="443"/>
      <c r="E32" s="444"/>
      <c r="F32" s="444"/>
      <c r="G32" s="593" t="s">
        <v>182</v>
      </c>
      <c r="H32" s="594"/>
      <c r="I32" s="445">
        <f>SUM(I17:I31)</f>
        <v>7</v>
      </c>
      <c r="J32" s="445">
        <f>SUM(J17:J31)</f>
        <v>83.083333333333329</v>
      </c>
      <c r="K32" s="445">
        <f>SUM(K17:K31)</f>
        <v>0</v>
      </c>
      <c r="L32" s="446">
        <f>SUM(L17:L31)</f>
        <v>0.32986111111111127</v>
      </c>
      <c r="M32" s="447">
        <f>SUM(M17:M31)</f>
        <v>2023.0769230769233</v>
      </c>
      <c r="N32" s="66"/>
      <c r="O32" s="165">
        <f>SUM(O17:O31)</f>
        <v>10427.275641025639</v>
      </c>
      <c r="P32" s="165">
        <f>SUM(P17:P31)</f>
        <v>126.44230769230762</v>
      </c>
      <c r="Q32" s="95">
        <f>O32+P32</f>
        <v>10553.717948717946</v>
      </c>
    </row>
    <row r="33" spans="2:17">
      <c r="B33" s="66"/>
      <c r="C33" s="76"/>
      <c r="D33" s="77"/>
      <c r="E33" s="144"/>
      <c r="F33" s="144"/>
      <c r="G33" s="81" t="s">
        <v>39</v>
      </c>
      <c r="H33" s="82"/>
      <c r="I33" s="83"/>
      <c r="J33" s="84"/>
      <c r="K33" s="116"/>
      <c r="L33" s="102">
        <f>(D14/60)*0</f>
        <v>0</v>
      </c>
      <c r="M33" s="118"/>
      <c r="N33" s="166">
        <f>(D14*H14)-N37</f>
        <v>10520</v>
      </c>
      <c r="O33" s="95"/>
      <c r="P33" s="95"/>
      <c r="Q33" s="95"/>
    </row>
    <row r="34" spans="2:17">
      <c r="B34" s="65"/>
      <c r="C34" s="65"/>
      <c r="D34" s="85"/>
      <c r="E34" s="85"/>
      <c r="F34" s="85"/>
      <c r="G34" s="592" t="s">
        <v>183</v>
      </c>
      <c r="H34" s="592"/>
      <c r="I34" s="80"/>
      <c r="J34" s="80">
        <f>H14-J32</f>
        <v>20.916666666666671</v>
      </c>
      <c r="K34" s="65"/>
      <c r="L34" s="120"/>
      <c r="M34" s="65"/>
      <c r="N34" s="121">
        <f>M32</f>
        <v>2023.0769230769233</v>
      </c>
      <c r="O34" s="151">
        <f>O32-O33</f>
        <v>10427.275641025639</v>
      </c>
      <c r="P34" s="95"/>
      <c r="Q34" s="95"/>
    </row>
    <row r="35" spans="2:17">
      <c r="B35" s="65"/>
      <c r="C35" s="65"/>
      <c r="D35" s="85"/>
      <c r="E35" s="145"/>
      <c r="F35" s="145"/>
      <c r="G35" s="78" t="s">
        <v>41</v>
      </c>
      <c r="H35" s="79"/>
      <c r="I35" s="66"/>
      <c r="J35" s="66"/>
      <c r="K35" s="80"/>
      <c r="L35" s="80"/>
      <c r="M35" s="80"/>
      <c r="N35" s="121">
        <f>N33-N34</f>
        <v>8496.9230769230762</v>
      </c>
      <c r="O35" s="95"/>
      <c r="P35" s="95"/>
      <c r="Q35" s="95"/>
    </row>
    <row r="36" spans="2:17">
      <c r="B36" s="65"/>
      <c r="C36" s="65"/>
      <c r="D36" s="85"/>
      <c r="E36" s="146"/>
      <c r="F36" s="146"/>
      <c r="G36" s="604" t="s">
        <v>184</v>
      </c>
      <c r="H36" s="605"/>
      <c r="I36" s="80"/>
      <c r="J36" s="66"/>
      <c r="K36" s="122"/>
      <c r="L36" s="122"/>
      <c r="M36" s="122"/>
      <c r="N36" s="123">
        <f>K32*G14</f>
        <v>0</v>
      </c>
      <c r="O36" s="95"/>
    </row>
    <row r="37" spans="2:17">
      <c r="B37" s="65"/>
      <c r="C37" s="65"/>
      <c r="D37" s="85"/>
      <c r="E37" s="146"/>
      <c r="F37" s="146"/>
      <c r="G37" s="86" t="s">
        <v>185</v>
      </c>
      <c r="H37" s="87"/>
      <c r="I37" s="80"/>
      <c r="J37" s="66"/>
      <c r="K37" s="122"/>
      <c r="L37" s="122"/>
      <c r="M37" s="122"/>
      <c r="N37" s="123">
        <v>0</v>
      </c>
      <c r="O37" s="95"/>
    </row>
    <row r="38" spans="2:17">
      <c r="B38" s="65"/>
      <c r="C38" s="65"/>
      <c r="D38" s="85"/>
      <c r="E38" s="145"/>
      <c r="F38" s="145"/>
      <c r="G38" s="597" t="s">
        <v>186</v>
      </c>
      <c r="H38" s="598"/>
      <c r="I38" s="66"/>
      <c r="J38" s="66"/>
      <c r="K38" s="66"/>
      <c r="L38" s="66"/>
      <c r="M38" s="66"/>
      <c r="N38" s="124">
        <f>N35+N36+N37</f>
        <v>8496.9230769230762</v>
      </c>
      <c r="O38" s="95"/>
    </row>
    <row r="39" spans="2:17">
      <c r="D39" s="88"/>
      <c r="E39" s="88"/>
      <c r="F39" s="88"/>
      <c r="G39" s="589"/>
      <c r="H39" s="589"/>
      <c r="I39" s="90"/>
      <c r="J39" s="90"/>
      <c r="K39" s="125"/>
      <c r="L39" s="125"/>
      <c r="M39" s="125"/>
      <c r="N39" s="126"/>
      <c r="O39" s="127"/>
    </row>
    <row r="40" spans="2:17">
      <c r="D40" s="91"/>
      <c r="E40" s="91"/>
      <c r="F40" s="91"/>
      <c r="M40" t="s">
        <v>196</v>
      </c>
    </row>
    <row r="41" spans="2:17">
      <c r="B41" s="590" t="s">
        <v>187</v>
      </c>
      <c r="C41" s="590"/>
      <c r="D41" s="590"/>
      <c r="E41" s="590"/>
      <c r="F41" s="590"/>
      <c r="G41" s="590"/>
      <c r="H41" s="590"/>
      <c r="I41" s="590"/>
      <c r="J41" s="590"/>
      <c r="K41" s="590"/>
      <c r="L41" s="590"/>
      <c r="M41" s="590"/>
      <c r="N41" s="590"/>
    </row>
    <row r="42" spans="2:17">
      <c r="D42" s="91"/>
      <c r="E42" s="91"/>
      <c r="F42" s="91"/>
    </row>
    <row r="43" spans="2:17">
      <c r="D43" s="91" t="s">
        <v>188</v>
      </c>
      <c r="E43" s="91"/>
      <c r="F43" s="91"/>
      <c r="N43" s="95"/>
    </row>
    <row r="44" spans="2:17">
      <c r="D44" s="54" t="s">
        <v>10</v>
      </c>
      <c r="E44" s="54"/>
      <c r="F44" s="54"/>
      <c r="G44" s="54" t="s">
        <v>11</v>
      </c>
      <c r="H44" s="54" t="s">
        <v>12</v>
      </c>
      <c r="I44" s="55" t="s">
        <v>13</v>
      </c>
    </row>
    <row r="45" spans="2:17">
      <c r="D45" s="56">
        <v>2026</v>
      </c>
      <c r="E45" s="56"/>
      <c r="F45" s="56"/>
      <c r="G45" s="56" t="s">
        <v>264</v>
      </c>
      <c r="H45" s="56">
        <v>20</v>
      </c>
      <c r="I45" s="56" t="s">
        <v>15</v>
      </c>
    </row>
    <row r="46" spans="2:17">
      <c r="D46" s="57"/>
      <c r="E46" s="57"/>
      <c r="F46" s="57"/>
      <c r="G46" s="57"/>
    </row>
    <row r="47" spans="2:17" ht="33.75">
      <c r="D47" s="159" t="s">
        <v>16</v>
      </c>
      <c r="E47" s="159"/>
      <c r="F47" s="159"/>
      <c r="G47" s="159" t="s">
        <v>17</v>
      </c>
      <c r="H47" s="159" t="s">
        <v>18</v>
      </c>
      <c r="I47" s="159" t="s">
        <v>19</v>
      </c>
    </row>
    <row r="48" spans="2:17">
      <c r="D48" s="61">
        <v>0.33333333333333298</v>
      </c>
      <c r="E48" s="61"/>
      <c r="F48" s="61"/>
      <c r="G48" s="62">
        <v>10</v>
      </c>
      <c r="H48" s="63">
        <f>D14</f>
        <v>101.15384615384616</v>
      </c>
      <c r="I48" s="130">
        <f>(H48*30%)+H48</f>
        <v>131.5</v>
      </c>
    </row>
    <row r="50" spans="3:14">
      <c r="C50" s="131" t="s">
        <v>20</v>
      </c>
      <c r="D50" s="131" t="s">
        <v>12</v>
      </c>
      <c r="E50" s="131"/>
      <c r="F50" s="131"/>
      <c r="G50" s="131" t="s">
        <v>21</v>
      </c>
      <c r="H50" s="131" t="s">
        <v>22</v>
      </c>
      <c r="I50" s="131" t="s">
        <v>23</v>
      </c>
      <c r="J50" s="131" t="s">
        <v>24</v>
      </c>
      <c r="K50" s="131" t="s">
        <v>25</v>
      </c>
      <c r="L50" s="131"/>
      <c r="M50" s="131"/>
      <c r="N50" s="131" t="s">
        <v>26</v>
      </c>
    </row>
    <row r="51" spans="3:14">
      <c r="C51" s="70" t="s">
        <v>353</v>
      </c>
      <c r="D51" s="71">
        <v>46101</v>
      </c>
      <c r="E51" s="71"/>
      <c r="F51" s="71"/>
      <c r="G51" s="72">
        <v>0.33333333333333331</v>
      </c>
      <c r="H51" s="72">
        <v>0.75</v>
      </c>
      <c r="I51" s="73">
        <v>1</v>
      </c>
      <c r="J51" s="73">
        <f>IFERROR(IF(AND(G51&lt;&gt;"",H51&lt;&gt;""),IF(G51&gt;$B$14+TIME($C$14,($C$14-INT($C$14))*60,0),0,IF(H51&gt;$B$14+TIME($C$14,($C$14-INT($C$14))*60,0),MIN(TIME($C$14,($C$14-INT($C$14))*60,0),($B$14+TIME($C$14,($C$14-INT($C$14))*60,0)-G51)),MIN(IF((H51-$B$14)&lt;0,0,(H51-$B$14)),(H51-G51))))*24,"")-I51,"")</f>
        <v>9</v>
      </c>
      <c r="K51" s="73">
        <f>IF(AND(G51&lt;&gt;"",H51&lt;&gt;""),((IF(G51&lt;$D$48,MIN($D$48-G51,H51-G51),0)+IF(H51&gt;$D$48+TIME($G$48,($G$48-INT($G$48))*60,0),MIN((H51-$D$48-TIME($G$48,($G$48-INT($G$48))*60,0)),(H51-G51)),0))*24),"")</f>
        <v>0</v>
      </c>
      <c r="L51" s="73"/>
      <c r="M51" s="73"/>
      <c r="N51" s="99">
        <f>H48*J51</f>
        <v>910.38461538461547</v>
      </c>
    </row>
    <row r="52" spans="3:14">
      <c r="C52" s="70" t="s">
        <v>445</v>
      </c>
      <c r="D52" s="71">
        <v>23</v>
      </c>
      <c r="E52" s="71"/>
      <c r="F52" s="71"/>
      <c r="G52" s="72">
        <v>0</v>
      </c>
      <c r="H52" s="72">
        <v>0</v>
      </c>
      <c r="I52" s="73">
        <v>0</v>
      </c>
      <c r="J52" s="73">
        <f>IFERROR(IF(AND(G52&lt;&gt;"",H52&lt;&gt;""),IF(G52&gt;$B$14+TIME($C$14,($C$14-INT($C$14))*60,0),0,IF(H52&gt;$B$14+TIME($C$14,($C$14-INT($C$14))*60,0),MIN(TIME($C$14,($C$14-INT($C$14))*60,0),($B$14+TIME($C$14,($C$14-INT($C$14))*60,0)-G52)),MIN(IF((H52-$B$14)&lt;0,0,(H52-$B$14)),(H52-G52))))*24,"")-I52,"")</f>
        <v>0</v>
      </c>
      <c r="K52" s="73">
        <f>IF(AND(G52&lt;&gt;"",H52&lt;&gt;""),((IF(G52&lt;$D$48,MIN($D$48-G52,H52-G52),0)+IF(H52&gt;$D$48+TIME($G$48,($G$48-INT($G$48))*60,0),MIN((H52-$D$48-TIME($G$48,($G$48-INT($G$48))*60,0)),(H52-G52)),0))*24),"")</f>
        <v>0</v>
      </c>
      <c r="L52" s="73"/>
      <c r="M52" s="73"/>
      <c r="N52" s="99">
        <f>H48*J52</f>
        <v>0</v>
      </c>
    </row>
    <row r="53" spans="3:14"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318">
        <f>SUM(N51:N52)</f>
        <v>910.38461538461547</v>
      </c>
    </row>
    <row r="54" spans="3:14">
      <c r="N54" s="138"/>
    </row>
    <row r="55" spans="3:14">
      <c r="N55" s="138"/>
    </row>
    <row r="56" spans="3:14">
      <c r="N56" s="138"/>
    </row>
    <row r="57" spans="3:14">
      <c r="D57" s="132" t="s">
        <v>190</v>
      </c>
      <c r="E57" s="132"/>
      <c r="F57" s="132"/>
      <c r="G57" s="133"/>
      <c r="H57" s="133"/>
      <c r="I57" s="133"/>
      <c r="N57" s="138"/>
    </row>
    <row r="58" spans="3:14">
      <c r="D58" s="132"/>
      <c r="E58" s="132"/>
      <c r="F58" s="132"/>
      <c r="G58" s="133"/>
      <c r="H58" s="133"/>
      <c r="I58" s="133"/>
      <c r="N58" s="138"/>
    </row>
    <row r="59" spans="3:14">
      <c r="D59" s="132"/>
      <c r="E59" s="132"/>
      <c r="F59" s="132"/>
      <c r="G59" s="133"/>
      <c r="H59" s="133"/>
      <c r="I59" s="133"/>
      <c r="N59" s="138"/>
    </row>
    <row r="60" spans="3:14">
      <c r="D60" s="591">
        <v>44981</v>
      </c>
      <c r="E60" s="591"/>
      <c r="F60" s="591"/>
      <c r="G60" s="88"/>
      <c r="H60" s="148" t="s">
        <v>280</v>
      </c>
      <c r="I60" s="254"/>
      <c r="N60" s="138"/>
    </row>
    <row r="61" spans="3:14">
      <c r="E61" s="88"/>
      <c r="F61" s="88"/>
      <c r="G61" s="88">
        <f>G60*H61</f>
        <v>0</v>
      </c>
      <c r="H61" s="253">
        <v>0.3</v>
      </c>
      <c r="I61" s="254"/>
      <c r="N61" s="138"/>
    </row>
    <row r="62" spans="3:14">
      <c r="E62" s="91"/>
      <c r="F62" s="91"/>
      <c r="G62" s="91"/>
      <c r="N62" s="138"/>
    </row>
    <row r="63" spans="3:14">
      <c r="E63" s="91"/>
      <c r="F63" s="91"/>
      <c r="G63" s="91"/>
      <c r="H63" s="91">
        <f>G61</f>
        <v>0</v>
      </c>
      <c r="N63" s="138"/>
    </row>
    <row r="64" spans="3:14">
      <c r="D64" s="132"/>
      <c r="E64" s="132"/>
      <c r="F64" s="132"/>
      <c r="G64" s="133"/>
      <c r="H64" s="133"/>
      <c r="I64" s="133"/>
    </row>
    <row r="65" spans="3:14">
      <c r="D65" s="132"/>
      <c r="E65" s="132"/>
      <c r="F65" s="132"/>
      <c r="G65" s="133"/>
      <c r="H65" s="133"/>
      <c r="I65" s="133"/>
    </row>
    <row r="66" spans="3:14">
      <c r="D66" s="132" t="s">
        <v>190</v>
      </c>
      <c r="E66" s="132"/>
      <c r="F66" s="132"/>
      <c r="G66" s="133"/>
      <c r="H66" s="133"/>
      <c r="I66" s="133"/>
    </row>
    <row r="67" spans="3:14">
      <c r="D67" s="54" t="s">
        <v>10</v>
      </c>
      <c r="E67" s="54"/>
      <c r="F67" s="54"/>
      <c r="G67" s="54" t="s">
        <v>11</v>
      </c>
      <c r="H67" s="54" t="s">
        <v>12</v>
      </c>
      <c r="I67" s="55" t="s">
        <v>13</v>
      </c>
    </row>
    <row r="68" spans="3:14">
      <c r="D68" s="56">
        <v>2022</v>
      </c>
      <c r="E68" s="56"/>
      <c r="F68" s="56"/>
      <c r="G68" s="56" t="s">
        <v>189</v>
      </c>
      <c r="H68" s="56">
        <v>27</v>
      </c>
      <c r="I68" s="56" t="s">
        <v>15</v>
      </c>
    </row>
    <row r="69" spans="3:14">
      <c r="D69" s="57"/>
      <c r="E69" s="57"/>
      <c r="F69" s="57"/>
      <c r="G69" s="57"/>
    </row>
    <row r="70" spans="3:14" ht="33.75">
      <c r="D70" s="159" t="s">
        <v>16</v>
      </c>
      <c r="E70" s="159"/>
      <c r="F70" s="159"/>
      <c r="G70" s="159" t="s">
        <v>17</v>
      </c>
      <c r="H70" s="159" t="s">
        <v>191</v>
      </c>
      <c r="I70" s="167"/>
      <c r="J70" t="s">
        <v>192</v>
      </c>
    </row>
    <row r="71" spans="3:14">
      <c r="D71" s="61">
        <v>0.33333333333333298</v>
      </c>
      <c r="E71" s="61"/>
      <c r="F71" s="61"/>
      <c r="G71" s="62">
        <v>9</v>
      </c>
      <c r="H71" s="63">
        <v>45.63</v>
      </c>
      <c r="I71" s="130"/>
    </row>
    <row r="73" spans="3:14"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</row>
    <row r="74" spans="3:14">
      <c r="C74" s="131"/>
      <c r="D74" s="131" t="s">
        <v>12</v>
      </c>
      <c r="E74" s="131"/>
      <c r="F74" s="131"/>
      <c r="G74" s="131" t="s">
        <v>21</v>
      </c>
      <c r="H74" s="131" t="s">
        <v>22</v>
      </c>
      <c r="I74" s="131" t="s">
        <v>23</v>
      </c>
      <c r="J74" s="131" t="s">
        <v>24</v>
      </c>
      <c r="K74" s="131" t="s">
        <v>25</v>
      </c>
      <c r="L74" s="131"/>
      <c r="M74" s="131"/>
      <c r="N74" s="131" t="s">
        <v>26</v>
      </c>
    </row>
    <row r="75" spans="3:14">
      <c r="C75" s="70" t="s">
        <v>193</v>
      </c>
      <c r="D75" s="71">
        <v>27</v>
      </c>
      <c r="E75" s="71"/>
      <c r="F75" s="71"/>
      <c r="G75" s="72">
        <v>0</v>
      </c>
      <c r="H75" s="72">
        <v>0</v>
      </c>
      <c r="I75" s="73"/>
      <c r="J75" s="73">
        <f>IFERROR(IF(AND(G75&lt;&gt;"",H75&lt;&gt;""),IF(G75&gt;$B$14+TIME($C$14,($C$14-INT($C$14))*60,0),0,IF(H75&gt;$B$14+TIME($C$14,($C$14-INT($C$14))*60,0),MIN(TIME($C$14,($C$14-INT($C$14))*60,0),($B$14+TIME($C$14,($C$14-INT($C$14))*60,0)-G75)),MIN(IF((H75-$B$14)&lt;0,0,(H75-$B$14)),(H75-G75))))*24,"")-I75,"")</f>
        <v>0</v>
      </c>
      <c r="K75" s="73">
        <f>IF(AND(G75&lt;&gt;"",H75&lt;&gt;""),((IF(G75&lt;$B$14,MIN($B$14-G75,H75-G75),0)+IF(H75&gt;$B$14+TIME($C$14,($C$14-INT($C$14))*60,0),MIN((H75-$B$14-TIME($C$14,($C$14-INT($C$14))*60,0)),(H75-G75)),0))*24),"")</f>
        <v>0</v>
      </c>
      <c r="L75" s="110"/>
      <c r="M75" s="102"/>
      <c r="N75" s="99">
        <f>(H71+(H71*169%))*K75</f>
        <v>0</v>
      </c>
    </row>
    <row r="76" spans="3:14">
      <c r="C76" s="70" t="s">
        <v>193</v>
      </c>
      <c r="D76" s="71">
        <v>3</v>
      </c>
      <c r="E76" s="71"/>
      <c r="F76" s="71"/>
      <c r="G76" s="72">
        <v>0</v>
      </c>
      <c r="H76" s="72">
        <v>0</v>
      </c>
      <c r="I76" s="73"/>
      <c r="J76" s="73">
        <f>IFERROR(IF(AND(G76&lt;&gt;"",H76&lt;&gt;""),IF(G76&gt;$B$14+TIME($C$14,($C$14-INT($C$14))*60,0),0,IF(H76&gt;$B$14+TIME($C$14,($C$14-INT($C$14))*60,0),MIN(TIME($C$14,($C$14-INT($C$14))*60,0),($B$14+TIME($C$14,($C$14-INT($C$14))*60,0)-G76)),MIN(IF((H76-$B$14)&lt;0,0,(H76-$B$14)),(H76-G76))))*24,"")-I76,"")</f>
        <v>0</v>
      </c>
      <c r="K76" s="73">
        <f>IF(AND(G76&lt;&gt;"",H76&lt;&gt;""),((IF(G76&lt;$D$48,MIN($D$48-G76,H76-G76),0)+IF(H76&gt;$D$48+TIME($G$48,($G$48-INT($G$48))*60,0),MIN((H76-$D$48-TIME($G$48,($G$48-INT($G$48))*60,0)),(H76-G76)),0))*24),"")</f>
        <v>0</v>
      </c>
      <c r="L76" s="73"/>
      <c r="M76" s="73"/>
      <c r="N76" s="99">
        <f>(H71+(H71*169%))*K76</f>
        <v>0</v>
      </c>
    </row>
    <row r="77" spans="3:14">
      <c r="C77" s="70"/>
      <c r="D77" s="71"/>
      <c r="E77" s="71"/>
      <c r="F77" s="71"/>
      <c r="G77" s="72"/>
      <c r="H77" s="72"/>
      <c r="I77" s="73"/>
      <c r="J77" s="73"/>
      <c r="K77" s="73"/>
      <c r="L77" s="73"/>
      <c r="M77" s="73"/>
      <c r="N77" s="99"/>
    </row>
    <row r="78" spans="3:14"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137">
        <f>SUM(N75:N76)</f>
        <v>0</v>
      </c>
    </row>
    <row r="79" spans="3:14">
      <c r="G79" s="606"/>
      <c r="H79" s="606"/>
    </row>
    <row r="82" spans="3:3">
      <c r="C82" s="91" t="s">
        <v>141</v>
      </c>
    </row>
    <row r="83" spans="3:3">
      <c r="C83" t="s">
        <v>66</v>
      </c>
    </row>
    <row r="84" spans="3:3">
      <c r="C84" s="91"/>
    </row>
  </sheetData>
  <mergeCells count="13">
    <mergeCell ref="G79:H79"/>
    <mergeCell ref="A6:N6"/>
    <mergeCell ref="C7:D7"/>
    <mergeCell ref="M7:O7"/>
    <mergeCell ref="C8:D8"/>
    <mergeCell ref="M8:O8"/>
    <mergeCell ref="G32:H32"/>
    <mergeCell ref="G34:H34"/>
    <mergeCell ref="G36:H36"/>
    <mergeCell ref="G38:H38"/>
    <mergeCell ref="G39:H39"/>
    <mergeCell ref="B41:N41"/>
    <mergeCell ref="D60:F60"/>
  </mergeCells>
  <conditionalFormatting sqref="C17:D17">
    <cfRule type="expression" dxfId="171" priority="83">
      <formula>ISNUMBER(SEARCH(TEXT($B17,"ddd"),$F$10))</formula>
    </cfRule>
  </conditionalFormatting>
  <conditionalFormatting sqref="C18:D31 I75:L75 G75:H76 C75:F77 N75:N77 I76 J76:M77 G77:I77">
    <cfRule type="expression" dxfId="170" priority="141">
      <formula>ISNUMBER(SEARCH(TEXT($C18,"ddd"),$G$11))</formula>
    </cfRule>
  </conditionalFormatting>
  <conditionalFormatting sqref="C51:N52">
    <cfRule type="expression" dxfId="169" priority="1">
      <formula>ISNUMBER(SEARCH(TEXT($C51,"ddd"),$G$11))</formula>
    </cfRule>
  </conditionalFormatting>
  <conditionalFormatting sqref="E17:K31">
    <cfRule type="expression" dxfId="168" priority="2">
      <formula>ISNUMBER(SEARCH(TEXT($C17,"ddd"),$G$11))</formula>
    </cfRule>
  </conditionalFormatting>
  <conditionalFormatting sqref="N17:N31">
    <cfRule type="expression" dxfId="167" priority="84">
      <formula>ISNUMBER(SEARCH(TEXT($B17,"ddd"),$F$10))</formula>
    </cfRule>
  </conditionalFormatting>
  <dataValidations count="5">
    <dataValidation type="custom" allowBlank="1" showInputMessage="1" showErrorMessage="1" sqref="H75:H77 H51:H52 H17:H31" xr:uid="{00000000-0002-0000-2100-000000000000}">
      <formula1>AND($H17&lt;=1,ISNUMBER($H17),($H17&gt;=$G17))</formula1>
    </dataValidation>
    <dataValidation type="custom" allowBlank="1" showInputMessage="1" showErrorMessage="1" sqref="G75:G77 G51:G52 E17:G31" xr:uid="{00000000-0002-0000-2100-000001000000}">
      <formula1>AND($G17&lt;=1,ISNUMBER($G17))</formula1>
    </dataValidation>
    <dataValidation type="list" allowBlank="1" showInputMessage="1" showErrorMessage="1" sqref="H68 E11:F11" xr:uid="{00000000-0002-0000-2100-000002000000}">
      <formula1>CONSUELO!DateCalc</formula1>
    </dataValidation>
    <dataValidation type="list" allowBlank="1" showInputMessage="1" showErrorMessage="1" sqref="D11 H45" xr:uid="{00000000-0002-0000-2100-000003000000}">
      <formula1>DateCalc</formula1>
    </dataValidation>
    <dataValidation type="list" allowBlank="1" showInputMessage="1" showErrorMessage="1" sqref="I68 G11 D68:G68" xr:uid="{00000000-0002-0000-2100-000004000000}"/>
  </dataValidations>
  <pageMargins left="1.07083333333333" right="0.25" top="0.359722222222222" bottom="0.39791666666666697" header="0.29861111111111099" footer="0.29861111111111099"/>
  <pageSetup paperSize="9" scale="91" orientation="landscape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8833" r:id="rId4" name="Check Box 1">
              <controlPr defaultSize="0" print="0" autoPict="0">
                <anchor moveWithCells="1">
                  <from>
                    <xdr:col>7</xdr:col>
                    <xdr:colOff>180975</xdr:colOff>
                    <xdr:row>9</xdr:row>
                    <xdr:rowOff>28575</xdr:rowOff>
                  </from>
                  <to>
                    <xdr:col>8</xdr:col>
                    <xdr:colOff>571500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2100-000005000000}">
          <x14:formula1>
            <xm:f>Data!$B$2:$B$13</xm:f>
          </x14:formula1>
          <xm:sqref>C11 G45</xm:sqref>
        </x14:dataValidation>
        <x14:dataValidation type="list" allowBlank="1" showInputMessage="1" showErrorMessage="1" xr:uid="{00000000-0002-0000-2100-000006000000}">
          <x14:formula1>
            <xm:f>Data!$A$2:$A$15</xm:f>
          </x14:formula1>
          <xm:sqref>B11 D45:F45</xm:sqref>
        </x14:dataValidation>
        <x14:dataValidation type="list" allowBlank="1" showInputMessage="1" showErrorMessage="1" xr:uid="{00000000-0002-0000-2100-000007000000}">
          <x14:formula1>
            <xm:f>Data!$D$2:$D$16</xm:f>
          </x14:formula1>
          <xm:sqref>I45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5:AH70"/>
  <sheetViews>
    <sheetView showGridLines="0" showWhiteSpace="0" view="pageLayout" topLeftCell="C1" zoomScale="120" zoomScaleNormal="100" zoomScalePageLayoutView="120" workbookViewId="0">
      <selection activeCell="M7" sqref="M7:O7"/>
    </sheetView>
  </sheetViews>
  <sheetFormatPr defaultColWidth="9" defaultRowHeight="12.75"/>
  <cols>
    <col min="1" max="1" width="1.625" customWidth="1"/>
    <col min="2" max="2" width="5.375" customWidth="1"/>
    <col min="3" max="3" width="7.125" customWidth="1"/>
    <col min="4" max="6" width="7.625" customWidth="1"/>
    <col min="7" max="7" width="10.125" customWidth="1"/>
    <col min="8" max="8" width="9.625" customWidth="1"/>
    <col min="9" max="9" width="8.125" customWidth="1"/>
    <col min="10" max="10" width="10.125" customWidth="1"/>
    <col min="11" max="11" width="7.875" customWidth="1"/>
    <col min="12" max="12" width="10.125" customWidth="1"/>
    <col min="13" max="13" width="10.375" customWidth="1"/>
    <col min="14" max="14" width="10.875" customWidth="1"/>
    <col min="15" max="15" width="16.875" customWidth="1"/>
    <col min="18" max="18" width="11.125" customWidth="1"/>
  </cols>
  <sheetData>
    <row r="5" spans="1:21" ht="25.5" customHeight="1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21" s="47" customFormat="1" ht="25.5" customHeight="1">
      <c r="A6" s="603"/>
      <c r="B6" s="603"/>
      <c r="C6" s="603"/>
      <c r="D6" s="603"/>
      <c r="E6" s="603"/>
      <c r="F6" s="603"/>
      <c r="G6" s="603"/>
      <c r="H6" s="603"/>
      <c r="I6" s="603"/>
      <c r="J6" s="603"/>
      <c r="K6" s="603"/>
      <c r="L6" s="603"/>
      <c r="M6" s="603"/>
      <c r="N6" s="603"/>
    </row>
    <row r="7" spans="1:21" ht="18.75" customHeight="1">
      <c r="C7" s="527" t="s">
        <v>3</v>
      </c>
      <c r="D7" s="527"/>
      <c r="E7" s="49"/>
      <c r="F7" s="49"/>
      <c r="G7" s="50"/>
      <c r="H7" s="51"/>
      <c r="K7" s="49" t="s">
        <v>174</v>
      </c>
      <c r="M7" s="599" t="str">
        <f>PAALAN!L7</f>
        <v>September  11-25, 2026</v>
      </c>
      <c r="N7" s="599"/>
      <c r="O7" s="599"/>
    </row>
    <row r="8" spans="1:21" ht="18.75" customHeight="1">
      <c r="C8" s="527" t="s">
        <v>175</v>
      </c>
      <c r="D8" s="527"/>
      <c r="E8" s="49"/>
      <c r="F8" s="49"/>
      <c r="G8" s="50" t="s">
        <v>108</v>
      </c>
      <c r="H8" s="51"/>
      <c r="K8" s="49" t="s">
        <v>176</v>
      </c>
      <c r="L8" s="92"/>
      <c r="M8" s="600" t="str">
        <f>PAALAN!L8</f>
        <v>9/31/2026</v>
      </c>
      <c r="N8" s="600"/>
      <c r="O8" s="600"/>
    </row>
    <row r="9" spans="1:21">
      <c r="C9" s="52"/>
      <c r="D9" s="53"/>
      <c r="E9" s="53"/>
      <c r="F9" s="53"/>
      <c r="G9" s="53"/>
    </row>
    <row r="10" spans="1:21">
      <c r="B10" s="54" t="s">
        <v>10</v>
      </c>
      <c r="C10" s="54" t="s">
        <v>11</v>
      </c>
      <c r="D10" s="54" t="s">
        <v>12</v>
      </c>
      <c r="E10" s="54"/>
      <c r="F10" s="54"/>
      <c r="G10" s="55" t="s">
        <v>13</v>
      </c>
    </row>
    <row r="11" spans="1:21">
      <c r="B11" s="56">
        <v>2026</v>
      </c>
      <c r="C11" s="56" t="s">
        <v>177</v>
      </c>
      <c r="D11" s="56">
        <v>11</v>
      </c>
      <c r="E11" s="56"/>
      <c r="F11" s="56"/>
      <c r="G11" s="56" t="s">
        <v>178</v>
      </c>
    </row>
    <row r="12" spans="1:21">
      <c r="B12" s="57"/>
      <c r="C12" s="57"/>
      <c r="H12" s="57"/>
      <c r="K12" s="57"/>
      <c r="L12" s="57"/>
      <c r="M12" s="57"/>
    </row>
    <row r="13" spans="1:21" ht="32.1" customHeight="1">
      <c r="B13" s="159" t="s">
        <v>16</v>
      </c>
      <c r="C13" s="159" t="s">
        <v>17</v>
      </c>
      <c r="D13" s="159" t="s">
        <v>18</v>
      </c>
      <c r="E13" s="160"/>
      <c r="F13" s="160"/>
      <c r="G13" s="160" t="s">
        <v>19</v>
      </c>
      <c r="H13" s="161" t="s">
        <v>179</v>
      </c>
      <c r="L13" s="93"/>
      <c r="M13" s="93"/>
      <c r="N13" s="94"/>
      <c r="O13" s="159" t="s">
        <v>16</v>
      </c>
      <c r="P13" s="159" t="s">
        <v>17</v>
      </c>
      <c r="Q13" s="159" t="s">
        <v>18</v>
      </c>
      <c r="R13" s="160"/>
      <c r="S13" s="160"/>
      <c r="T13" s="160" t="s">
        <v>19</v>
      </c>
      <c r="U13" s="161" t="s">
        <v>179</v>
      </c>
    </row>
    <row r="14" spans="1:21">
      <c r="B14" s="61">
        <v>0.33333333333333331</v>
      </c>
      <c r="C14" s="62">
        <v>10</v>
      </c>
      <c r="D14" s="63">
        <f>(17158.67/26)/8</f>
        <v>82.493605769230754</v>
      </c>
      <c r="E14" s="142"/>
      <c r="F14" s="142"/>
      <c r="G14" s="64">
        <f>(D14*25%)+D14</f>
        <v>103.11700721153844</v>
      </c>
      <c r="H14" s="65">
        <v>105</v>
      </c>
      <c r="I14" s="95"/>
      <c r="L14" s="57"/>
      <c r="M14" s="57"/>
      <c r="N14" s="95"/>
      <c r="O14" s="61">
        <v>0.375</v>
      </c>
      <c r="P14" s="62">
        <v>3</v>
      </c>
      <c r="Q14" s="63">
        <f>(14555.32/26)/8</f>
        <v>69.977499999999992</v>
      </c>
      <c r="R14" s="142"/>
      <c r="S14" s="142"/>
      <c r="T14" s="64">
        <f>(Q14*25%)+Q14</f>
        <v>87.471874999999983</v>
      </c>
      <c r="U14" s="65">
        <v>87</v>
      </c>
    </row>
    <row r="15" spans="1:21">
      <c r="N15" s="96"/>
    </row>
    <row r="16" spans="1:21" ht="23.25">
      <c r="B16" s="66"/>
      <c r="C16" s="67" t="s">
        <v>20</v>
      </c>
      <c r="D16" s="67" t="s">
        <v>12</v>
      </c>
      <c r="E16" s="67"/>
      <c r="F16" s="67"/>
      <c r="G16" s="67" t="s">
        <v>21</v>
      </c>
      <c r="H16" s="67" t="s">
        <v>22</v>
      </c>
      <c r="I16" s="68" t="s">
        <v>23</v>
      </c>
      <c r="J16" s="68" t="s">
        <v>24</v>
      </c>
      <c r="K16" s="68" t="s">
        <v>25</v>
      </c>
      <c r="L16" s="67" t="s">
        <v>180</v>
      </c>
      <c r="M16" s="134" t="s">
        <v>181</v>
      </c>
      <c r="N16" s="67" t="s">
        <v>26</v>
      </c>
    </row>
    <row r="17" spans="2:34">
      <c r="B17" s="432">
        <v>1</v>
      </c>
      <c r="C17" s="429">
        <f>DATE($B$11,MATCH($C$11,Data!$B$2:$B$13,0),'Accntng Clerk Salary Sample  '!$D$11)</f>
        <v>46276</v>
      </c>
      <c r="D17" s="430">
        <f>DATE($B$11,MATCH($C$11,Data!$B$2:$B$13,0),'Accntng Clerk Salary Sample  '!$D$11)</f>
        <v>46276</v>
      </c>
      <c r="E17" s="424">
        <v>0.35</v>
      </c>
      <c r="F17" s="424">
        <v>0</v>
      </c>
      <c r="G17" s="424">
        <f t="shared" ref="G17" si="0">E17-F17</f>
        <v>0.35</v>
      </c>
      <c r="H17" s="424">
        <v>0.75</v>
      </c>
      <c r="I17" s="425">
        <v>1</v>
      </c>
      <c r="J17" s="425">
        <f t="shared" ref="J17:J31" si="1">IFERROR(IF(AND(G17&lt;&gt;"",H17&lt;&gt;""),IF(G17&gt;$B$14+TIME($C$14,($C$14-INT($C$14))*60,0),0,IF(H17&gt;$B$14+TIME($C$14,($C$14-INT($C$14))*60,0),MIN(TIME($C$14,($C$14-INT($C$14))*60,0),($B$14+TIME($C$14,($C$14-INT($C$14))*60,0)-G17)),MIN(IF((H17-$B$14)&lt;0,0,(H17-$B$14)),(H17-G17))))*24,"")-I17,"")</f>
        <v>8.6000000000000014</v>
      </c>
      <c r="K17" s="425">
        <f t="shared" ref="K17" si="2">IF(AND(G17&lt;&gt;"",H17&lt;&gt;""),((IF(G17&lt;$B$14,MIN($B$14-G17,H17-G17),0)+IF(H17&gt;$B$14+TIME($C$14,($C$14-INT($C$14))*60,0),MIN((H17-$B$14-TIME($C$14,($C$14-INT($C$14))*60,0)),(H17-G17)),0))*24),"")</f>
        <v>0</v>
      </c>
      <c r="L17" s="426">
        <f>E17-B14</f>
        <v>1.6666666666666663E-2</v>
      </c>
      <c r="M17" s="423">
        <f>(D14/60)*24</f>
        <v>32.997442307692303</v>
      </c>
      <c r="N17" s="427">
        <f>IFERROR(J17*IF(AND(ISNUMBER(SEARCH(TEXT(C17,"ddd"),$G$11)),Data!$F$2),$G$14,$D$14)+K17*$G$14,"")</f>
        <v>709.44500961538461</v>
      </c>
      <c r="O17" s="141">
        <f t="shared" ref="O17:O30" si="3">M17+N17</f>
        <v>742.44245192307687</v>
      </c>
      <c r="P17" s="100"/>
      <c r="Q17" s="89"/>
    </row>
    <row r="18" spans="2:34">
      <c r="B18" s="432">
        <v>2</v>
      </c>
      <c r="C18" s="429">
        <f t="shared" ref="C18:D31" si="4">C17+1</f>
        <v>46277</v>
      </c>
      <c r="D18" s="430">
        <f t="shared" si="4"/>
        <v>46277</v>
      </c>
      <c r="E18" s="424">
        <v>0.375</v>
      </c>
      <c r="F18" s="424">
        <v>0</v>
      </c>
      <c r="G18" s="424">
        <f t="shared" ref="G18:G27" si="5">E18-F18</f>
        <v>0.375</v>
      </c>
      <c r="H18" s="424">
        <v>0.5</v>
      </c>
      <c r="I18" s="425">
        <v>0</v>
      </c>
      <c r="J18" s="425">
        <f t="shared" ref="J18:J19" si="6">IFERROR(IF(AND(G18&lt;&gt;"",H18&lt;&gt;""),IF(G18&gt;$B$14+TIME($C$14,($C$14-INT($C$14))*60,0),0,IF(H18&gt;$B$14+TIME($C$14,($C$14-INT($C$14))*60,0),MIN(TIME($C$14,($C$14-INT($C$14))*60,0),($B$14+TIME($C$14,($C$14-INT($C$14))*60,0)-G18)),MIN(IF((H18-$B$14)&lt;0,0,(H18-$B$14)),(H18-G18))))*24,"")-I18,"")</f>
        <v>3</v>
      </c>
      <c r="K18" s="425">
        <f t="shared" ref="K18:K19" si="7">IF(AND(G18&lt;&gt;"",H18&lt;&gt;""),((IF(G18&lt;$B$14,MIN($B$14-G18,H18-G18),0)+IF(H18&gt;$B$14+TIME($C$14,($C$14-INT($C$14))*60,0),MIN((H18-$B$14-TIME($C$14,($C$14-INT($C$14))*60,0)),(H18-G18)),0))*24),"")</f>
        <v>0</v>
      </c>
      <c r="L18" s="426">
        <f>E18-B14</f>
        <v>4.1666666666666685E-2</v>
      </c>
      <c r="M18" s="423">
        <f>(D14/60)*0</f>
        <v>0</v>
      </c>
      <c r="N18" s="427">
        <f>IFERROR(J18*IF(AND(ISNUMBER(SEARCH(TEXT(C18,"ddd"),$G$11)),Data!$F$2),$G$14,$D$14)+K18*$G$14,"")</f>
        <v>247.48081730769226</v>
      </c>
      <c r="O18" s="141">
        <f t="shared" si="3"/>
        <v>247.48081730769226</v>
      </c>
      <c r="P18" s="89"/>
      <c r="Q18" s="89"/>
    </row>
    <row r="19" spans="2:34">
      <c r="B19" s="432"/>
      <c r="C19" s="429">
        <f t="shared" si="4"/>
        <v>46278</v>
      </c>
      <c r="D19" s="430">
        <f t="shared" si="4"/>
        <v>46278</v>
      </c>
      <c r="E19" s="424">
        <v>0</v>
      </c>
      <c r="F19" s="424">
        <v>0</v>
      </c>
      <c r="G19" s="424">
        <f t="shared" si="5"/>
        <v>0</v>
      </c>
      <c r="H19" s="424">
        <v>0</v>
      </c>
      <c r="I19" s="425">
        <v>0</v>
      </c>
      <c r="J19" s="425">
        <f t="shared" si="6"/>
        <v>0</v>
      </c>
      <c r="K19" s="425">
        <f t="shared" si="7"/>
        <v>0</v>
      </c>
      <c r="L19" s="97">
        <v>0</v>
      </c>
      <c r="M19" s="98">
        <f>(D14/60)*0</f>
        <v>0</v>
      </c>
      <c r="N19" s="251">
        <f>IFERROR(J19*IF(AND(ISNUMBER(SEARCH(TEXT(C19,"ddd"),$G$11)),Data!$F$2),$G$14,$D$14)+K19*$G$14,"")</f>
        <v>0</v>
      </c>
      <c r="O19" s="141">
        <f t="shared" si="3"/>
        <v>0</v>
      </c>
      <c r="P19" s="100"/>
      <c r="Q19" s="104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</row>
    <row r="20" spans="2:34">
      <c r="B20" s="432">
        <v>3</v>
      </c>
      <c r="C20" s="429">
        <f t="shared" si="4"/>
        <v>46279</v>
      </c>
      <c r="D20" s="430">
        <f t="shared" si="4"/>
        <v>46279</v>
      </c>
      <c r="E20" s="424">
        <v>0.3527777777777778</v>
      </c>
      <c r="F20" s="424">
        <v>0</v>
      </c>
      <c r="G20" s="424">
        <f t="shared" ref="G20:G21" si="8">E20-F20</f>
        <v>0.3527777777777778</v>
      </c>
      <c r="H20" s="424">
        <v>0.75</v>
      </c>
      <c r="I20" s="425">
        <v>1</v>
      </c>
      <c r="J20" s="425">
        <f t="shared" ref="J20:J21" si="9">IFERROR(IF(AND(G20&lt;&gt;"",H20&lt;&gt;""),IF(G20&gt;$B$14+TIME($C$14,($C$14-INT($C$14))*60,0),0,IF(H20&gt;$B$14+TIME($C$14,($C$14-INT($C$14))*60,0),MIN(TIME($C$14,($C$14-INT($C$14))*60,0),($B$14+TIME($C$14,($C$14-INT($C$14))*60,0)-G20)),MIN(IF((H20-$B$14)&lt;0,0,(H20-$B$14)),(H20-G20))))*24,"")-I20,"")</f>
        <v>8.5333333333333332</v>
      </c>
      <c r="K20" s="425">
        <f t="shared" ref="K20:K21" si="10">IF(AND(G20&lt;&gt;"",H20&lt;&gt;""),((IF(G20&lt;$B$14,MIN($B$14-G20,H20-G20),0)+IF(H20&gt;$B$14+TIME($C$14,($C$14-INT($C$14))*60,0),MIN((H20-$B$14-TIME($C$14,($C$14-INT($C$14))*60,0)),(H20-G20)),0))*24),"")</f>
        <v>0</v>
      </c>
      <c r="L20" s="426">
        <f>G20-B14</f>
        <v>1.9444444444444486E-2</v>
      </c>
      <c r="M20" s="423">
        <f>(D14/60)*28</f>
        <v>38.497016025641017</v>
      </c>
      <c r="N20" s="427">
        <f>IFERROR(J20*IF(AND(ISNUMBER(SEARCH(TEXT(C20,"ddd"),$G$11)),Data!$F$2),$G$14,$D$14)+K20*$G$14,"")</f>
        <v>703.9454358974358</v>
      </c>
      <c r="O20" s="141">
        <f t="shared" si="3"/>
        <v>742.44245192307676</v>
      </c>
      <c r="P20" s="103"/>
      <c r="Q20" s="103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28"/>
    </row>
    <row r="21" spans="2:34">
      <c r="B21" s="432">
        <v>4</v>
      </c>
      <c r="C21" s="429">
        <f t="shared" si="4"/>
        <v>46280</v>
      </c>
      <c r="D21" s="430">
        <f t="shared" si="4"/>
        <v>46280</v>
      </c>
      <c r="E21" s="424">
        <v>0.3527777777777778</v>
      </c>
      <c r="F21" s="424">
        <v>0</v>
      </c>
      <c r="G21" s="424">
        <f t="shared" si="8"/>
        <v>0.3527777777777778</v>
      </c>
      <c r="H21" s="424">
        <v>0.75</v>
      </c>
      <c r="I21" s="425">
        <v>1</v>
      </c>
      <c r="J21" s="425">
        <f t="shared" si="9"/>
        <v>8.5333333333333332</v>
      </c>
      <c r="K21" s="425">
        <f t="shared" si="10"/>
        <v>0</v>
      </c>
      <c r="L21" s="426">
        <f>E21-B14</f>
        <v>1.9444444444444486E-2</v>
      </c>
      <c r="M21" s="423">
        <f>(D14/60)*28</f>
        <v>38.497016025641017</v>
      </c>
      <c r="N21" s="427">
        <f>IFERROR(J21*IF(AND(ISNUMBER(SEARCH(TEXT(C21,"ddd"),$G$11)),Data!$F$2),$G$14,$D$14)+K21*$G$14,"")</f>
        <v>703.9454358974358</v>
      </c>
      <c r="O21" s="141">
        <f t="shared" si="3"/>
        <v>742.44245192307676</v>
      </c>
      <c r="P21" s="162"/>
      <c r="Q21" s="108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4"/>
    </row>
    <row r="22" spans="2:34">
      <c r="B22" s="432">
        <v>5</v>
      </c>
      <c r="C22" s="429">
        <f t="shared" si="4"/>
        <v>46281</v>
      </c>
      <c r="D22" s="430">
        <f t="shared" si="4"/>
        <v>46281</v>
      </c>
      <c r="E22" s="424">
        <v>0.33333333333333331</v>
      </c>
      <c r="F22" s="424">
        <v>0</v>
      </c>
      <c r="G22" s="424">
        <f t="shared" ref="G22" si="11">E22-F22</f>
        <v>0.33333333333333331</v>
      </c>
      <c r="H22" s="424">
        <v>0.75</v>
      </c>
      <c r="I22" s="425">
        <v>1</v>
      </c>
      <c r="J22" s="425">
        <f t="shared" ref="J22:J25" si="12">IFERROR(IF(AND(G22&lt;&gt;"",H22&lt;&gt;""),IF(G22&gt;$B$14+TIME($C$14,($C$14-INT($C$14))*60,0),0,IF(H22&gt;$B$14+TIME($C$14,($C$14-INT($C$14))*60,0),MIN(TIME($C$14,($C$14-INT($C$14))*60,0),($B$14+TIME($C$14,($C$14-INT($C$14))*60,0)-G22)),MIN(IF((H22-$B$14)&lt;0,0,(H22-$B$14)),(H22-G22))))*24,"")-I22,"")</f>
        <v>9</v>
      </c>
      <c r="K22" s="425">
        <f t="shared" ref="K22" si="13">IF(AND(G22&lt;&gt;"",H22&lt;&gt;""),((IF(G22&lt;$B$14,MIN($B$14-G22,H22-G22),0)+IF(H22&gt;$B$14+TIME($C$14,($C$14-INT($C$14))*60,0),MIN((H22-$B$14-TIME($C$14,($C$14-INT($C$14))*60,0)),(H22-G22)),0))*24),"")</f>
        <v>0</v>
      </c>
      <c r="L22" s="426">
        <f>E22-B14</f>
        <v>0</v>
      </c>
      <c r="M22" s="423">
        <f>(D14/60)*0</f>
        <v>0</v>
      </c>
      <c r="N22" s="427">
        <f>IFERROR(J22*IF(AND(ISNUMBER(SEARCH(TEXT(C22,"ddd"),$G$11)),Data!$F$2),$G$14,$D$14)+K22*$G$14,"")</f>
        <v>742.44245192307676</v>
      </c>
      <c r="O22" s="141">
        <f t="shared" si="3"/>
        <v>742.44245192307676</v>
      </c>
      <c r="P22" s="163">
        <f>O21-O22</f>
        <v>0</v>
      </c>
      <c r="Q22" s="135"/>
      <c r="R22" s="96">
        <v>0.40486111111111101</v>
      </c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4"/>
    </row>
    <row r="23" spans="2:34">
      <c r="B23" s="432">
        <v>6</v>
      </c>
      <c r="C23" s="429">
        <f t="shared" si="4"/>
        <v>46282</v>
      </c>
      <c r="D23" s="430">
        <f t="shared" si="4"/>
        <v>46282</v>
      </c>
      <c r="E23" s="424">
        <v>0.35347222222222224</v>
      </c>
      <c r="F23" s="424">
        <v>0</v>
      </c>
      <c r="G23" s="424">
        <f t="shared" ref="G23:G24" si="14">E23-F23</f>
        <v>0.35347222222222224</v>
      </c>
      <c r="H23" s="424">
        <v>0.75</v>
      </c>
      <c r="I23" s="425">
        <v>1</v>
      </c>
      <c r="J23" s="425">
        <f t="shared" si="12"/>
        <v>8.5166666666666657</v>
      </c>
      <c r="K23" s="425">
        <f t="shared" ref="K23:K24" si="15">IF(AND(G23&lt;&gt;"",H23&lt;&gt;""),((IF(G23&lt;$B$14,MIN($B$14-G23,H23-G23),0)+IF(H23&gt;$B$14+TIME($C$14,($C$14-INT($C$14))*60,0),MIN((H23-$B$14-TIME($C$14,($C$14-INT($C$14))*60,0)),(H23-G23)),0))*24),"")</f>
        <v>0</v>
      </c>
      <c r="L23" s="426">
        <f>E23-B14</f>
        <v>2.0138888888888928E-2</v>
      </c>
      <c r="M23" s="423">
        <f>(D14/60)*29</f>
        <v>39.871909455128197</v>
      </c>
      <c r="N23" s="427">
        <f>IFERROR(J23*IF(AND(ISNUMBER(SEARCH(TEXT(C23,"ddd"),$G$11)),Data!$F$2),$G$14,$D$14)+K23*$G$14,"")</f>
        <v>702.57054246794848</v>
      </c>
      <c r="O23" s="141">
        <f t="shared" si="3"/>
        <v>742.44245192307665</v>
      </c>
      <c r="P23" s="150"/>
      <c r="Q23" s="89"/>
      <c r="R23" s="96">
        <v>1.0416666666666701E-2</v>
      </c>
    </row>
    <row r="24" spans="2:34">
      <c r="B24" s="432">
        <v>7</v>
      </c>
      <c r="C24" s="429">
        <f t="shared" si="4"/>
        <v>46283</v>
      </c>
      <c r="D24" s="430">
        <f t="shared" si="4"/>
        <v>46283</v>
      </c>
      <c r="E24" s="424">
        <v>0.33333333333333331</v>
      </c>
      <c r="F24" s="424">
        <v>0</v>
      </c>
      <c r="G24" s="424">
        <f t="shared" si="14"/>
        <v>0.33333333333333331</v>
      </c>
      <c r="H24" s="424">
        <v>0.75</v>
      </c>
      <c r="I24" s="425">
        <v>1</v>
      </c>
      <c r="J24" s="425">
        <f t="shared" si="12"/>
        <v>9</v>
      </c>
      <c r="K24" s="425">
        <f t="shared" si="15"/>
        <v>0</v>
      </c>
      <c r="L24" s="426">
        <f>G24-B14</f>
        <v>0</v>
      </c>
      <c r="M24" s="423">
        <f>(D14/60)*0</f>
        <v>0</v>
      </c>
      <c r="N24" s="427">
        <f>IFERROR(J24*IF(AND(ISNUMBER(SEARCH(TEXT(C24,"ddd"),$G$11)),Data!$F$2),$G$14,$D$14)+K24*$G$14,"")</f>
        <v>742.44245192307676</v>
      </c>
      <c r="O24" s="141">
        <f t="shared" si="3"/>
        <v>742.44245192307676</v>
      </c>
      <c r="P24" s="155"/>
      <c r="Q24" s="89"/>
      <c r="R24" s="129">
        <f>R22-R23</f>
        <v>0.39444444444444432</v>
      </c>
    </row>
    <row r="25" spans="2:34">
      <c r="B25" s="432">
        <v>8</v>
      </c>
      <c r="C25" s="429">
        <f t="shared" si="4"/>
        <v>46284</v>
      </c>
      <c r="D25" s="430">
        <f t="shared" si="4"/>
        <v>46284</v>
      </c>
      <c r="E25" s="424">
        <v>0</v>
      </c>
      <c r="F25" s="424">
        <v>0</v>
      </c>
      <c r="G25" s="424">
        <f t="shared" si="5"/>
        <v>0</v>
      </c>
      <c r="H25" s="424">
        <v>0</v>
      </c>
      <c r="I25" s="425">
        <v>0</v>
      </c>
      <c r="J25" s="425">
        <f t="shared" si="12"/>
        <v>0</v>
      </c>
      <c r="K25" s="425">
        <f t="shared" ref="K25:K29" si="16">IF(AND(G25&lt;&gt;"",H25&lt;&gt;""),((IF(G25&lt;$B$14,MIN($B$14-G25,H25-G25),0)+IF(H25&gt;$B$14+TIME($C$14,($C$14-INT($C$14))*60,0),MIN((H25-$B$14-TIME($C$14,($C$14-INT($C$14))*60,0)),(H25-G25)),0))*24),"")</f>
        <v>0</v>
      </c>
      <c r="L25" s="426">
        <v>0</v>
      </c>
      <c r="M25" s="423">
        <f>(D14/60)*540</f>
        <v>742.44245192307687</v>
      </c>
      <c r="N25" s="427">
        <f>IFERROR(J25*IF(AND(ISNUMBER(SEARCH(TEXT(C25,"ddd"),$G$11)),Data!$F$2),$G$14,$D$14)+K25*$G$14,"")</f>
        <v>0</v>
      </c>
      <c r="O25" s="141">
        <f t="shared" si="3"/>
        <v>742.44245192307687</v>
      </c>
      <c r="P25" s="89"/>
      <c r="Q25" s="89"/>
    </row>
    <row r="26" spans="2:34">
      <c r="B26" s="432"/>
      <c r="C26" s="429">
        <f t="shared" si="4"/>
        <v>46285</v>
      </c>
      <c r="D26" s="430">
        <f t="shared" si="4"/>
        <v>46285</v>
      </c>
      <c r="E26" s="424">
        <v>0</v>
      </c>
      <c r="F26" s="424">
        <v>0</v>
      </c>
      <c r="G26" s="424">
        <f t="shared" si="5"/>
        <v>0</v>
      </c>
      <c r="H26" s="424">
        <v>0</v>
      </c>
      <c r="I26" s="425">
        <v>0</v>
      </c>
      <c r="J26" s="425">
        <f t="shared" ref="J26:J27" si="17">IFERROR(IF(AND(G26&lt;&gt;"",H26&lt;&gt;""),IF(G26&gt;$B$14+TIME($C$14,($C$14-INT($C$14))*60,0),0,IF(H26&gt;$B$14+TIME($C$14,($C$14-INT($C$14))*60,0),MIN(TIME($C$14,($C$14-INT($C$14))*60,0),($B$14+TIME($C$14,($C$14-INT($C$14))*60,0)-G26)),MIN(IF((H26-$B$14)&lt;0,0,(H26-$B$14)),(H26-G26))))*24,"")-I26,"")</f>
        <v>0</v>
      </c>
      <c r="K26" s="425">
        <f t="shared" si="16"/>
        <v>0</v>
      </c>
      <c r="L26" s="97">
        <v>0</v>
      </c>
      <c r="M26" s="98">
        <f>(D14/60)*0</f>
        <v>0</v>
      </c>
      <c r="N26" s="251">
        <f>IFERROR(J26*IF(AND(ISNUMBER(SEARCH(TEXT(C26,"ddd"),$G$11)),Data!$F$2),$G$14,$D$14)+K26*$G$14,"")</f>
        <v>0</v>
      </c>
      <c r="O26" s="141">
        <f t="shared" si="3"/>
        <v>0</v>
      </c>
      <c r="P26" s="89"/>
      <c r="Q26" s="89"/>
    </row>
    <row r="27" spans="2:34">
      <c r="B27" s="432">
        <v>9</v>
      </c>
      <c r="C27" s="429">
        <f t="shared" si="4"/>
        <v>46286</v>
      </c>
      <c r="D27" s="430">
        <f t="shared" si="4"/>
        <v>46286</v>
      </c>
      <c r="E27" s="424">
        <v>0.54166666666666663</v>
      </c>
      <c r="F27" s="424">
        <v>0</v>
      </c>
      <c r="G27" s="424">
        <f t="shared" si="5"/>
        <v>0.54166666666666663</v>
      </c>
      <c r="H27" s="424">
        <v>0.75</v>
      </c>
      <c r="I27" s="425">
        <v>0</v>
      </c>
      <c r="J27" s="425">
        <f t="shared" si="17"/>
        <v>5.0000000000000009</v>
      </c>
      <c r="K27" s="425">
        <f t="shared" si="16"/>
        <v>0</v>
      </c>
      <c r="L27" s="426">
        <f>E27-B14</f>
        <v>0.20833333333333331</v>
      </c>
      <c r="M27" s="423">
        <f>(D14/60)*240</f>
        <v>329.97442307692302</v>
      </c>
      <c r="N27" s="427">
        <f>IFERROR(J27*IF(AND(ISNUMBER(SEARCH(TEXT(C27,"ddd"),$G$11)),Data!$F$2),$G$14,$D$14)+K27*$G$14,"")</f>
        <v>412.46802884615386</v>
      </c>
      <c r="O27" s="141">
        <f t="shared" si="3"/>
        <v>742.44245192307687</v>
      </c>
      <c r="P27" s="127"/>
      <c r="Q27" s="89"/>
    </row>
    <row r="28" spans="2:34">
      <c r="B28" s="432">
        <v>10</v>
      </c>
      <c r="C28" s="429">
        <f t="shared" si="4"/>
        <v>46287</v>
      </c>
      <c r="D28" s="430">
        <f t="shared" si="4"/>
        <v>46287</v>
      </c>
      <c r="E28" s="424">
        <v>0.35416666666666669</v>
      </c>
      <c r="F28" s="424">
        <v>0</v>
      </c>
      <c r="G28" s="424">
        <f t="shared" ref="G28" si="18">E28-F28</f>
        <v>0.35416666666666669</v>
      </c>
      <c r="H28" s="424">
        <v>0.75</v>
      </c>
      <c r="I28" s="425">
        <v>1</v>
      </c>
      <c r="J28" s="425">
        <f t="shared" ref="J28" si="19">IFERROR(IF(AND(G28&lt;&gt;"",H28&lt;&gt;""),IF(G28&gt;$B$14+TIME($C$14,($C$14-INT($C$14))*60,0),0,IF(H28&gt;$B$14+TIME($C$14,($C$14-INT($C$14))*60,0),MIN(TIME($C$14,($C$14-INT($C$14))*60,0),($B$14+TIME($C$14,($C$14-INT($C$14))*60,0)-G28)),MIN(IF((H28-$B$14)&lt;0,0,(H28-$B$14)),(H28-G28))))*24,"")-I28,"")</f>
        <v>8.5</v>
      </c>
      <c r="K28" s="425">
        <f t="shared" ref="K28" si="20">IF(AND(G28&lt;&gt;"",H28&lt;&gt;""),((IF(G28&lt;$B$14,MIN($B$14-G28,H28-G28),0)+IF(H28&gt;$B$14+TIME($C$14,($C$14-INT($C$14))*60,0),MIN((H28-$B$14-TIME($C$14,($C$14-INT($C$14))*60,0)),(H28-G28)),0))*24),"")</f>
        <v>0</v>
      </c>
      <c r="L28" s="426">
        <f>G28-B14</f>
        <v>2.083333333333337E-2</v>
      </c>
      <c r="M28" s="423">
        <f>(D14/60)*30</f>
        <v>41.246802884615377</v>
      </c>
      <c r="N28" s="427">
        <f>IFERROR(J28*IF(AND(ISNUMBER(SEARCH(TEXT(C28,"ddd"),$G$11)),Data!$F$2),$G$14,$D$14)+K28*$G$14,"")</f>
        <v>701.1956490384614</v>
      </c>
      <c r="O28" s="141">
        <f t="shared" si="3"/>
        <v>742.44245192307676</v>
      </c>
      <c r="Q28" s="89"/>
    </row>
    <row r="29" spans="2:34">
      <c r="B29" s="432">
        <v>11</v>
      </c>
      <c r="C29" s="429">
        <f t="shared" si="4"/>
        <v>46288</v>
      </c>
      <c r="D29" s="430">
        <f t="shared" si="4"/>
        <v>46288</v>
      </c>
      <c r="E29" s="424">
        <v>0.54166666666666663</v>
      </c>
      <c r="F29" s="424">
        <v>0</v>
      </c>
      <c r="G29" s="424">
        <f t="shared" ref="G29" si="21">E29-F29</f>
        <v>0.54166666666666663</v>
      </c>
      <c r="H29" s="424">
        <v>0.75</v>
      </c>
      <c r="I29" s="425">
        <v>0</v>
      </c>
      <c r="J29" s="425">
        <f t="shared" si="1"/>
        <v>5.0000000000000009</v>
      </c>
      <c r="K29" s="425">
        <f t="shared" si="16"/>
        <v>0</v>
      </c>
      <c r="L29" s="426">
        <f>E29-B14</f>
        <v>0.20833333333333331</v>
      </c>
      <c r="M29" s="423">
        <f>(D14/60)*240</f>
        <v>329.97442307692302</v>
      </c>
      <c r="N29" s="427">
        <f>IFERROR(J29*IF(AND(ISNUMBER(SEARCH(TEXT(C29,"ddd"),$G$11)),Data!$F$2),$G$14,$D$14)+K29*$G$14,"")</f>
        <v>412.46802884615386</v>
      </c>
      <c r="O29" s="141">
        <f>M29+N29</f>
        <v>742.44245192307687</v>
      </c>
      <c r="P29" s="95">
        <f>O28-O29</f>
        <v>0</v>
      </c>
      <c r="Q29" s="89"/>
    </row>
    <row r="30" spans="2:34">
      <c r="B30" s="432">
        <v>12</v>
      </c>
      <c r="C30" s="429">
        <f t="shared" si="4"/>
        <v>46289</v>
      </c>
      <c r="D30" s="430">
        <f t="shared" si="4"/>
        <v>46289</v>
      </c>
      <c r="E30" s="424">
        <v>0.36388888888888887</v>
      </c>
      <c r="F30" s="424">
        <v>0</v>
      </c>
      <c r="G30" s="424">
        <f>E30-F30</f>
        <v>0.36388888888888887</v>
      </c>
      <c r="H30" s="424">
        <v>0.75</v>
      </c>
      <c r="I30" s="425">
        <v>1</v>
      </c>
      <c r="J30" s="425">
        <f t="shared" si="1"/>
        <v>8.2666666666666675</v>
      </c>
      <c r="K30" s="425">
        <v>0</v>
      </c>
      <c r="L30" s="426">
        <f>E30-B14</f>
        <v>3.0555555555555558E-2</v>
      </c>
      <c r="M30" s="423">
        <f>(D14/60)*44</f>
        <v>60.495310897435886</v>
      </c>
      <c r="N30" s="427">
        <f>IFERROR(J30*IF(AND(ISNUMBER(SEARCH(TEXT(C30,"ddd"),$G$11)),Data!$F$2),$G$14,$D$14)+K30*$G$14,"")</f>
        <v>681.94714102564092</v>
      </c>
      <c r="O30" s="141">
        <f t="shared" si="3"/>
        <v>742.44245192307676</v>
      </c>
      <c r="P30" s="127"/>
      <c r="Q30" s="89"/>
    </row>
    <row r="31" spans="2:34">
      <c r="B31" s="432">
        <v>13</v>
      </c>
      <c r="C31" s="429">
        <f t="shared" si="4"/>
        <v>46290</v>
      </c>
      <c r="D31" s="430">
        <f t="shared" si="4"/>
        <v>46290</v>
      </c>
      <c r="E31" s="424">
        <v>0.33333333333333331</v>
      </c>
      <c r="F31" s="424">
        <v>0</v>
      </c>
      <c r="G31" s="424">
        <f>E31-F31</f>
        <v>0.33333333333333331</v>
      </c>
      <c r="H31" s="424">
        <v>0.75</v>
      </c>
      <c r="I31" s="425">
        <v>1</v>
      </c>
      <c r="J31" s="425">
        <f t="shared" si="1"/>
        <v>9</v>
      </c>
      <c r="K31" s="425">
        <v>4</v>
      </c>
      <c r="L31" s="426">
        <f>E31-B14</f>
        <v>0</v>
      </c>
      <c r="M31" s="423">
        <f>(D14/60)*0</f>
        <v>0</v>
      </c>
      <c r="N31" s="427">
        <f>IFERROR(J31*IF(AND(ISNUMBER(SEARCH(TEXT(C31,"ddd"),$G$11)),Data!$F$2),$G$14,$D$14)+K31*$G$14,"")</f>
        <v>1154.9104807692306</v>
      </c>
      <c r="O31" s="141">
        <f>M31+N31</f>
        <v>1154.9104807692306</v>
      </c>
      <c r="P31" s="95">
        <f>O28-O31</f>
        <v>-412.46802884615386</v>
      </c>
    </row>
    <row r="32" spans="2:34">
      <c r="B32" s="441"/>
      <c r="C32" s="442"/>
      <c r="D32" s="443"/>
      <c r="E32" s="444"/>
      <c r="F32" s="444"/>
      <c r="G32" s="593" t="s">
        <v>182</v>
      </c>
      <c r="H32" s="594"/>
      <c r="I32" s="445">
        <f>SUM(I17:I31)</f>
        <v>9</v>
      </c>
      <c r="J32" s="445">
        <f>SUM(J17:J31)</f>
        <v>90.95</v>
      </c>
      <c r="K32" s="445">
        <f>SUM(K17:K31)</f>
        <v>4</v>
      </c>
      <c r="L32" s="446">
        <f>SUM(L17:L31)</f>
        <v>0.58541666666666681</v>
      </c>
      <c r="M32" s="447">
        <f>SUM(M17:M31)</f>
        <v>1653.996795673077</v>
      </c>
      <c r="N32" s="441"/>
      <c r="O32" s="165">
        <f>SUM(O17:O31)</f>
        <v>9569.2582692307678</v>
      </c>
      <c r="P32" s="165">
        <f>SUM(P17:P31)</f>
        <v>-412.46802884615386</v>
      </c>
      <c r="Q32" s="95">
        <f>O32+P32</f>
        <v>9156.7902403846147</v>
      </c>
    </row>
    <row r="33" spans="2:17">
      <c r="B33" s="66"/>
      <c r="C33" s="76"/>
      <c r="D33" s="77"/>
      <c r="E33" s="144"/>
      <c r="F33" s="144"/>
      <c r="G33" s="81" t="s">
        <v>39</v>
      </c>
      <c r="H33" s="82"/>
      <c r="I33" s="83"/>
      <c r="J33" s="84"/>
      <c r="K33" s="116"/>
      <c r="L33" s="102">
        <f>(D14/60)*861</f>
        <v>1183.7832427884614</v>
      </c>
      <c r="M33" s="118"/>
      <c r="N33" s="166">
        <f>D14*H14</f>
        <v>8661.8286057692294</v>
      </c>
      <c r="O33" s="95"/>
      <c r="P33" s="95"/>
      <c r="Q33" s="95"/>
    </row>
    <row r="34" spans="2:17">
      <c r="B34" s="65"/>
      <c r="C34" s="65"/>
      <c r="D34" s="85"/>
      <c r="E34" s="85"/>
      <c r="F34" s="85"/>
      <c r="G34" s="592" t="s">
        <v>183</v>
      </c>
      <c r="H34" s="592"/>
      <c r="I34" s="80"/>
      <c r="J34" s="80">
        <f>H14-J32</f>
        <v>14.049999999999997</v>
      </c>
      <c r="K34" s="65"/>
      <c r="L34" s="120"/>
      <c r="M34" s="65"/>
      <c r="N34" s="121">
        <f>M32</f>
        <v>1653.996795673077</v>
      </c>
      <c r="O34" s="151">
        <f>O32-O33</f>
        <v>9569.2582692307678</v>
      </c>
      <c r="P34" s="95"/>
      <c r="Q34" s="95"/>
    </row>
    <row r="35" spans="2:17">
      <c r="B35" s="65"/>
      <c r="C35" s="65"/>
      <c r="D35" s="85"/>
      <c r="E35" s="145"/>
      <c r="F35" s="145"/>
      <c r="G35" s="78" t="s">
        <v>41</v>
      </c>
      <c r="H35" s="79"/>
      <c r="I35" s="66"/>
      <c r="J35" s="66"/>
      <c r="K35" s="80"/>
      <c r="L35" s="80"/>
      <c r="M35" s="80"/>
      <c r="N35" s="121">
        <f>N33-N34</f>
        <v>7007.8318100961524</v>
      </c>
      <c r="O35" s="95"/>
      <c r="P35" s="95"/>
      <c r="Q35" s="95"/>
    </row>
    <row r="36" spans="2:17">
      <c r="B36" s="65"/>
      <c r="C36" s="65"/>
      <c r="D36" s="85"/>
      <c r="E36" s="146"/>
      <c r="F36" s="146"/>
      <c r="G36" s="604" t="s">
        <v>184</v>
      </c>
      <c r="H36" s="605"/>
      <c r="I36" s="80"/>
      <c r="J36" s="66"/>
      <c r="K36" s="122"/>
      <c r="L36" s="122"/>
      <c r="M36" s="122"/>
      <c r="N36" s="123">
        <f>K32*G14</f>
        <v>412.46802884615374</v>
      </c>
      <c r="O36" s="95"/>
    </row>
    <row r="37" spans="2:17">
      <c r="B37" s="65"/>
      <c r="C37" s="65"/>
      <c r="D37" s="85"/>
      <c r="E37" s="146"/>
      <c r="F37" s="146"/>
      <c r="G37" s="86" t="s">
        <v>185</v>
      </c>
      <c r="H37" s="87"/>
      <c r="I37" s="80"/>
      <c r="J37" s="66"/>
      <c r="K37" s="122"/>
      <c r="L37" s="122"/>
      <c r="M37" s="122"/>
      <c r="N37" s="123">
        <v>0</v>
      </c>
      <c r="O37" s="95"/>
    </row>
    <row r="38" spans="2:17">
      <c r="B38" s="65"/>
      <c r="C38" s="65"/>
      <c r="D38" s="85"/>
      <c r="E38" s="145"/>
      <c r="F38" s="145"/>
      <c r="G38" s="597" t="s">
        <v>186</v>
      </c>
      <c r="H38" s="598"/>
      <c r="I38" s="66"/>
      <c r="J38" s="66"/>
      <c r="K38" s="66"/>
      <c r="L38" s="66"/>
      <c r="M38" s="66"/>
      <c r="N38" s="124">
        <f>N35+N36+N37</f>
        <v>7420.2998389423065</v>
      </c>
      <c r="O38" s="95"/>
    </row>
    <row r="39" spans="2:17">
      <c r="D39" s="88"/>
      <c r="E39" s="88"/>
      <c r="F39" s="88"/>
      <c r="G39" s="589"/>
      <c r="H39" s="589"/>
      <c r="I39" s="90"/>
      <c r="J39" s="90"/>
      <c r="K39" s="125"/>
      <c r="L39" s="125"/>
      <c r="M39" s="125"/>
      <c r="N39" s="126"/>
      <c r="O39" s="127"/>
    </row>
    <row r="40" spans="2:17">
      <c r="D40" s="91"/>
      <c r="E40" s="91"/>
      <c r="F40" s="91"/>
      <c r="M40" t="s">
        <v>196</v>
      </c>
    </row>
    <row r="41" spans="2:17">
      <c r="B41" s="590" t="s">
        <v>187</v>
      </c>
      <c r="C41" s="590"/>
      <c r="D41" s="590"/>
      <c r="E41" s="590"/>
      <c r="F41" s="590"/>
      <c r="G41" s="590"/>
      <c r="H41" s="590"/>
      <c r="I41" s="590"/>
      <c r="J41" s="590"/>
      <c r="K41" s="590"/>
      <c r="L41" s="590"/>
      <c r="M41" s="590"/>
      <c r="N41" s="590"/>
    </row>
    <row r="42" spans="2:17">
      <c r="D42" s="91"/>
      <c r="E42" s="91"/>
      <c r="F42" s="91"/>
    </row>
    <row r="43" spans="2:17">
      <c r="D43" s="91" t="s">
        <v>188</v>
      </c>
      <c r="E43" s="91"/>
      <c r="F43" s="91"/>
      <c r="N43" s="95"/>
    </row>
    <row r="44" spans="2:17">
      <c r="D44" s="54" t="s">
        <v>10</v>
      </c>
      <c r="E44" s="54"/>
      <c r="F44" s="54"/>
      <c r="G44" s="54" t="s">
        <v>11</v>
      </c>
      <c r="H44" s="54" t="s">
        <v>12</v>
      </c>
      <c r="I44" s="55" t="s">
        <v>13</v>
      </c>
    </row>
    <row r="45" spans="2:17">
      <c r="D45" s="56">
        <v>2026</v>
      </c>
      <c r="E45" s="56"/>
      <c r="F45" s="56"/>
      <c r="G45" s="56" t="s">
        <v>204</v>
      </c>
      <c r="H45" s="56">
        <v>12</v>
      </c>
      <c r="I45" s="56" t="s">
        <v>15</v>
      </c>
    </row>
    <row r="46" spans="2:17">
      <c r="D46" s="57"/>
      <c r="E46" s="57"/>
      <c r="F46" s="57"/>
      <c r="G46" s="57"/>
    </row>
    <row r="47" spans="2:17" ht="33.75">
      <c r="D47" s="159" t="s">
        <v>16</v>
      </c>
      <c r="E47" s="159"/>
      <c r="F47" s="159"/>
      <c r="G47" s="159" t="s">
        <v>17</v>
      </c>
      <c r="H47" s="159" t="s">
        <v>18</v>
      </c>
      <c r="I47" s="159" t="s">
        <v>19</v>
      </c>
    </row>
    <row r="48" spans="2:17">
      <c r="D48" s="61">
        <v>0.33333333333333298</v>
      </c>
      <c r="E48" s="61"/>
      <c r="F48" s="61"/>
      <c r="G48" s="62">
        <v>10</v>
      </c>
      <c r="H48" s="63">
        <f>D14</f>
        <v>82.493605769230754</v>
      </c>
      <c r="I48" s="130">
        <f>(H48*30%)+H48</f>
        <v>107.24168749999998</v>
      </c>
    </row>
    <row r="50" spans="3:14">
      <c r="C50" s="131" t="s">
        <v>20</v>
      </c>
      <c r="D50" s="131" t="s">
        <v>12</v>
      </c>
      <c r="E50" s="131"/>
      <c r="F50" s="131"/>
      <c r="G50" s="131" t="s">
        <v>21</v>
      </c>
      <c r="H50" s="131" t="s">
        <v>22</v>
      </c>
      <c r="I50" s="131" t="s">
        <v>23</v>
      </c>
      <c r="J50" s="131" t="s">
        <v>24</v>
      </c>
      <c r="K50" s="131" t="s">
        <v>25</v>
      </c>
      <c r="L50" s="131"/>
      <c r="M50" s="131"/>
      <c r="N50" s="131" t="s">
        <v>26</v>
      </c>
    </row>
    <row r="51" spans="3:14">
      <c r="C51" s="70" t="s">
        <v>353</v>
      </c>
      <c r="D51" s="71">
        <v>12</v>
      </c>
      <c r="E51" s="71"/>
      <c r="F51" s="71"/>
      <c r="G51" s="72">
        <v>0.33333333333333331</v>
      </c>
      <c r="H51" s="72">
        <v>0.75</v>
      </c>
      <c r="I51" s="73">
        <v>1</v>
      </c>
      <c r="J51" s="73">
        <f t="shared" ref="J51" si="22">IFERROR(IF(AND(G51&lt;&gt;"",H51&lt;&gt;""),IF(G51&gt;$B$14+TIME($C$14,($C$14-INT($C$14))*60,0),0,IF(H51&gt;$B$14+TIME($C$14,($C$14-INT($C$14))*60,0),MIN(TIME($C$14,($C$14-INT($C$14))*60,0),($B$14+TIME($C$14,($C$14-INT($C$14))*60,0)-G51)),MIN(IF((H51-$B$14)&lt;0,0,(H51-$B$14)),(H51-G51))))*24,"")-I51,"")</f>
        <v>9</v>
      </c>
      <c r="K51" s="73">
        <f>IF(AND(G51&lt;&gt;"",H51&lt;&gt;""),((IF(G51&lt;$D$48,MIN($D$48-G51,H51-G51),0)+IF(H51&gt;$D$48+TIME($G$48,($G$48-INT($G$48))*60,0),MIN((H51-$D$48-TIME($G$48,($G$48-INT($G$48))*60,0)),(H51-G51)),0))*24),"")</f>
        <v>0</v>
      </c>
      <c r="L51" s="73"/>
      <c r="M51" s="73"/>
      <c r="N51" s="99">
        <f>(H48*J51)+742.44*30%</f>
        <v>965.17445192307673</v>
      </c>
    </row>
    <row r="52" spans="3:14">
      <c r="C52" s="70"/>
      <c r="D52" s="71"/>
      <c r="E52" s="71"/>
      <c r="F52" s="71"/>
      <c r="G52" s="72"/>
      <c r="H52" s="72"/>
      <c r="I52" s="73"/>
      <c r="J52" s="73"/>
      <c r="K52" s="73"/>
      <c r="L52" s="73"/>
      <c r="M52" s="73"/>
      <c r="N52" s="99"/>
    </row>
    <row r="53" spans="3:14"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318">
        <f>SUM(N51:N52)</f>
        <v>965.17445192307673</v>
      </c>
    </row>
    <row r="54" spans="3:14">
      <c r="N54" s="138"/>
    </row>
    <row r="55" spans="3:14">
      <c r="C55" s="132" t="s">
        <v>190</v>
      </c>
      <c r="D55" s="132"/>
      <c r="N55" s="138"/>
    </row>
    <row r="56" spans="3:14">
      <c r="N56" s="138"/>
    </row>
    <row r="57" spans="3:14">
      <c r="C57" s="591">
        <v>44981</v>
      </c>
      <c r="D57" s="591"/>
      <c r="E57" s="591"/>
      <c r="F57" s="88">
        <v>742.44</v>
      </c>
      <c r="G57" s="148" t="s">
        <v>280</v>
      </c>
      <c r="H57" s="254"/>
      <c r="N57" s="138"/>
    </row>
    <row r="58" spans="3:14">
      <c r="D58" s="88"/>
      <c r="E58" s="88"/>
      <c r="F58" s="256">
        <f>F57*G58</f>
        <v>222.732</v>
      </c>
      <c r="G58" s="253">
        <v>0.3</v>
      </c>
      <c r="H58" s="254"/>
      <c r="N58" s="138"/>
    </row>
    <row r="59" spans="3:14">
      <c r="D59" s="91"/>
      <c r="E59" s="91"/>
      <c r="F59" s="91"/>
      <c r="N59" s="138"/>
    </row>
    <row r="60" spans="3:14">
      <c r="D60" s="91"/>
      <c r="E60" s="91"/>
      <c r="F60" s="91"/>
      <c r="G60" s="257">
        <f>F58</f>
        <v>222.732</v>
      </c>
      <c r="N60" s="138"/>
    </row>
    <row r="61" spans="3:14">
      <c r="N61" s="138"/>
    </row>
    <row r="62" spans="3:14">
      <c r="D62" s="132"/>
      <c r="E62" s="132"/>
      <c r="F62" s="132"/>
      <c r="G62" s="133"/>
      <c r="H62" s="133"/>
      <c r="I62" s="133"/>
    </row>
    <row r="63" spans="3:14">
      <c r="D63" s="132"/>
      <c r="E63" s="132"/>
      <c r="F63" s="132"/>
      <c r="G63" s="133"/>
      <c r="H63" s="133"/>
      <c r="I63" s="133"/>
    </row>
    <row r="64" spans="3:14">
      <c r="F64" s="132"/>
      <c r="G64" s="133"/>
      <c r="H64" s="133"/>
      <c r="I64" s="133"/>
    </row>
    <row r="65" spans="3:8">
      <c r="G65" s="606"/>
      <c r="H65" s="606"/>
    </row>
    <row r="68" spans="3:8">
      <c r="C68" s="91" t="s">
        <v>141</v>
      </c>
    </row>
    <row r="69" spans="3:8">
      <c r="C69" t="s">
        <v>66</v>
      </c>
    </row>
    <row r="70" spans="3:8">
      <c r="C70" s="91"/>
    </row>
  </sheetData>
  <mergeCells count="13">
    <mergeCell ref="G65:H65"/>
    <mergeCell ref="A6:N6"/>
    <mergeCell ref="C7:D7"/>
    <mergeCell ref="M7:O7"/>
    <mergeCell ref="C8:D8"/>
    <mergeCell ref="M8:O8"/>
    <mergeCell ref="G32:H32"/>
    <mergeCell ref="G34:H34"/>
    <mergeCell ref="G36:H36"/>
    <mergeCell ref="G38:H38"/>
    <mergeCell ref="G39:H39"/>
    <mergeCell ref="B41:N41"/>
    <mergeCell ref="C57:E57"/>
  </mergeCells>
  <conditionalFormatting sqref="C17:D17">
    <cfRule type="expression" dxfId="166" priority="82">
      <formula>ISNUMBER(SEARCH(TEXT($B17,"ddd"),$F$10))</formula>
    </cfRule>
  </conditionalFormatting>
  <conditionalFormatting sqref="C18:D31">
    <cfRule type="expression" dxfId="165" priority="84">
      <formula>ISNUMBER(SEARCH(TEXT($C18,"ddd"),$G$11))</formula>
    </cfRule>
  </conditionalFormatting>
  <conditionalFormatting sqref="C51:N52">
    <cfRule type="expression" dxfId="164" priority="11">
      <formula>ISNUMBER(SEARCH(TEXT($C51,"ddd"),$G$11))</formula>
    </cfRule>
  </conditionalFormatting>
  <conditionalFormatting sqref="E17:K31">
    <cfRule type="expression" dxfId="163" priority="1">
      <formula>ISNUMBER(SEARCH(TEXT($C17,"ddd"),$G$11))</formula>
    </cfRule>
  </conditionalFormatting>
  <conditionalFormatting sqref="N17:N31">
    <cfRule type="expression" dxfId="162" priority="83">
      <formula>ISNUMBER(SEARCH(TEXT($B17,"ddd"),$F$10))</formula>
    </cfRule>
  </conditionalFormatting>
  <dataValidations count="5">
    <dataValidation type="list" allowBlank="1" showInputMessage="1" showErrorMessage="1" sqref="E11:F11" xr:uid="{00000000-0002-0000-2200-000000000000}">
      <formula1>'Accntng Clerk Salary Sample  '!DateCalc</formula1>
    </dataValidation>
    <dataValidation type="custom" allowBlank="1" showInputMessage="1" showErrorMessage="1" sqref="G51:G52 E17:G31" xr:uid="{00000000-0002-0000-2200-000001000000}">
      <formula1>AND($G17&lt;=1,ISNUMBER($G17))</formula1>
    </dataValidation>
    <dataValidation type="custom" allowBlank="1" showInputMessage="1" showErrorMessage="1" sqref="H51:H52 H17:H31" xr:uid="{00000000-0002-0000-2200-000002000000}">
      <formula1>AND($H17&lt;=1,ISNUMBER($H17),($H17&gt;=$G17))</formula1>
    </dataValidation>
    <dataValidation type="list" allowBlank="1" showInputMessage="1" showErrorMessage="1" sqref="D11 H45" xr:uid="{00000000-0002-0000-2200-000003000000}">
      <formula1>DateCalc</formula1>
    </dataValidation>
    <dataValidation type="list" allowBlank="1" showInputMessage="1" showErrorMessage="1" sqref="G11" xr:uid="{00000000-0002-0000-2200-000004000000}"/>
  </dataValidations>
  <pageMargins left="1.07083333333333" right="0.25" top="0.359722222222222" bottom="0.39791666666666697" header="0.29861111111111099" footer="0.29861111111111099"/>
  <pageSetup paperSize="9" scale="91" orientation="landscape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9857" r:id="rId4" name="Check Box 1">
              <controlPr defaultSize="0" print="0" autoPict="0">
                <anchor moveWithCells="1">
                  <from>
                    <xdr:col>7</xdr:col>
                    <xdr:colOff>180975</xdr:colOff>
                    <xdr:row>9</xdr:row>
                    <xdr:rowOff>28575</xdr:rowOff>
                  </from>
                  <to>
                    <xdr:col>8</xdr:col>
                    <xdr:colOff>571500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2200-000005000000}">
          <x14:formula1>
            <xm:f>Data!$B$2:$B$13</xm:f>
          </x14:formula1>
          <xm:sqref>C11 G45</xm:sqref>
        </x14:dataValidation>
        <x14:dataValidation type="list" allowBlank="1" showInputMessage="1" showErrorMessage="1" xr:uid="{00000000-0002-0000-2200-000006000000}">
          <x14:formula1>
            <xm:f>Data!$A$2:$A$15</xm:f>
          </x14:formula1>
          <xm:sqref>B11 D45:F45</xm:sqref>
        </x14:dataValidation>
        <x14:dataValidation type="list" allowBlank="1" showInputMessage="1" showErrorMessage="1" xr:uid="{00000000-0002-0000-2200-000007000000}">
          <x14:formula1>
            <xm:f>Data!$D$2:$D$16</xm:f>
          </x14:formula1>
          <xm:sqref>I45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5:AH70"/>
  <sheetViews>
    <sheetView showGridLines="0" showWhiteSpace="0" view="pageLayout" topLeftCell="A15" zoomScale="70" zoomScaleNormal="100" zoomScalePageLayoutView="70" workbookViewId="0">
      <selection activeCell="D14" sqref="D14"/>
    </sheetView>
  </sheetViews>
  <sheetFormatPr defaultColWidth="9" defaultRowHeight="12.75"/>
  <cols>
    <col min="1" max="1" width="1.625" customWidth="1"/>
    <col min="2" max="2" width="5.375" customWidth="1"/>
    <col min="3" max="3" width="7.125" customWidth="1"/>
    <col min="4" max="6" width="7.625" customWidth="1"/>
    <col min="7" max="7" width="10.125" customWidth="1"/>
    <col min="8" max="8" width="9.625" customWidth="1"/>
    <col min="9" max="9" width="8.125" customWidth="1"/>
    <col min="10" max="10" width="10.125" customWidth="1"/>
    <col min="11" max="11" width="7.875" customWidth="1"/>
    <col min="12" max="12" width="10.125" customWidth="1"/>
    <col min="13" max="13" width="10.375" customWidth="1"/>
    <col min="14" max="14" width="10.875" customWidth="1"/>
    <col min="15" max="15" width="16.875" customWidth="1"/>
    <col min="18" max="18" width="11.125" customWidth="1"/>
  </cols>
  <sheetData>
    <row r="5" spans="1:21" ht="25.5" customHeight="1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21" s="47" customFormat="1" ht="25.5" customHeight="1">
      <c r="A6" s="603"/>
      <c r="B6" s="603"/>
      <c r="C6" s="603"/>
      <c r="D6" s="603"/>
      <c r="E6" s="603"/>
      <c r="F6" s="603"/>
      <c r="G6" s="603"/>
      <c r="H6" s="603"/>
      <c r="I6" s="603"/>
      <c r="J6" s="603"/>
      <c r="K6" s="603"/>
      <c r="L6" s="603"/>
      <c r="M6" s="603"/>
      <c r="N6" s="603"/>
    </row>
    <row r="7" spans="1:21" ht="18.75" customHeight="1">
      <c r="C7" s="527" t="s">
        <v>3</v>
      </c>
      <c r="D7" s="527"/>
      <c r="E7" s="49"/>
      <c r="F7" s="49"/>
      <c r="G7" s="50" t="s">
        <v>337</v>
      </c>
      <c r="H7" s="51"/>
      <c r="K7" s="49" t="s">
        <v>174</v>
      </c>
      <c r="M7" s="599" t="str">
        <f>PAALAN!L7</f>
        <v>September  11-25, 2026</v>
      </c>
      <c r="N7" s="599"/>
      <c r="O7" s="599"/>
    </row>
    <row r="8" spans="1:21" ht="18.75" customHeight="1">
      <c r="C8" s="527" t="s">
        <v>175</v>
      </c>
      <c r="D8" s="527"/>
      <c r="E8" s="49"/>
      <c r="F8" s="49"/>
      <c r="G8" s="50" t="s">
        <v>338</v>
      </c>
      <c r="H8" s="51"/>
      <c r="K8" s="49" t="s">
        <v>176</v>
      </c>
      <c r="L8" s="92"/>
      <c r="M8" s="600" t="str">
        <f>PAALAN!L8</f>
        <v>9/31/2026</v>
      </c>
      <c r="N8" s="600"/>
      <c r="O8" s="600"/>
    </row>
    <row r="9" spans="1:21">
      <c r="C9" s="52"/>
      <c r="D9" s="53"/>
      <c r="E9" s="53"/>
      <c r="F9" s="53"/>
      <c r="G9" s="53"/>
    </row>
    <row r="10" spans="1:21">
      <c r="B10" s="54" t="s">
        <v>10</v>
      </c>
      <c r="C10" s="54" t="s">
        <v>11</v>
      </c>
      <c r="D10" s="54" t="s">
        <v>12</v>
      </c>
      <c r="E10" s="54"/>
      <c r="F10" s="54"/>
      <c r="G10" s="55" t="s">
        <v>13</v>
      </c>
    </row>
    <row r="11" spans="1:21">
      <c r="B11" s="56">
        <v>2026</v>
      </c>
      <c r="C11" s="56" t="s">
        <v>177</v>
      </c>
      <c r="D11" s="56">
        <v>11</v>
      </c>
      <c r="E11" s="56"/>
      <c r="F11" s="56"/>
      <c r="G11" s="56" t="s">
        <v>178</v>
      </c>
    </row>
    <row r="12" spans="1:21">
      <c r="B12" s="57"/>
      <c r="C12" s="57"/>
      <c r="H12" s="57"/>
      <c r="K12" s="57"/>
      <c r="L12" s="57"/>
      <c r="M12" s="57"/>
    </row>
    <row r="13" spans="1:21" ht="32.1" customHeight="1">
      <c r="B13" s="159" t="s">
        <v>16</v>
      </c>
      <c r="C13" s="159" t="s">
        <v>17</v>
      </c>
      <c r="D13" s="159" t="s">
        <v>18</v>
      </c>
      <c r="E13" s="160"/>
      <c r="F13" s="160"/>
      <c r="G13" s="160" t="s">
        <v>19</v>
      </c>
      <c r="H13" s="161" t="s">
        <v>179</v>
      </c>
      <c r="L13" s="93"/>
      <c r="M13" s="93"/>
      <c r="N13" s="94"/>
      <c r="O13" s="159" t="s">
        <v>16</v>
      </c>
      <c r="P13" s="159" t="s">
        <v>17</v>
      </c>
      <c r="Q13" s="159" t="s">
        <v>18</v>
      </c>
      <c r="R13" s="160"/>
      <c r="S13" s="160"/>
      <c r="T13" s="160" t="s">
        <v>19</v>
      </c>
      <c r="U13" s="161" t="s">
        <v>179</v>
      </c>
    </row>
    <row r="14" spans="1:21">
      <c r="B14" s="61">
        <v>0.33333333333333331</v>
      </c>
      <c r="C14" s="62">
        <v>10</v>
      </c>
      <c r="D14" s="63">
        <f>(16291.46/26)/8</f>
        <v>78.324326923076924</v>
      </c>
      <c r="E14" s="142"/>
      <c r="F14" s="142"/>
      <c r="G14" s="64">
        <f>(D14*25%)+D14</f>
        <v>97.905408653846152</v>
      </c>
      <c r="H14" s="65">
        <v>105</v>
      </c>
      <c r="I14" s="95"/>
      <c r="L14" s="57"/>
      <c r="M14" s="57"/>
      <c r="N14" s="95"/>
      <c r="O14" s="61">
        <v>0.375</v>
      </c>
      <c r="P14" s="62">
        <v>3</v>
      </c>
      <c r="Q14" s="63">
        <f>(14555.32/26)/8</f>
        <v>69.977499999999992</v>
      </c>
      <c r="R14" s="142"/>
      <c r="S14" s="142"/>
      <c r="T14" s="64">
        <f>(Q14*25%)+Q14</f>
        <v>87.471874999999983</v>
      </c>
      <c r="U14" s="65">
        <v>87</v>
      </c>
    </row>
    <row r="15" spans="1:21">
      <c r="N15" s="96"/>
    </row>
    <row r="16" spans="1:21" ht="23.25">
      <c r="B16" s="66"/>
      <c r="C16" s="67" t="s">
        <v>20</v>
      </c>
      <c r="D16" s="67" t="s">
        <v>12</v>
      </c>
      <c r="E16" s="67"/>
      <c r="F16" s="67"/>
      <c r="G16" s="67" t="s">
        <v>21</v>
      </c>
      <c r="H16" s="67" t="s">
        <v>22</v>
      </c>
      <c r="I16" s="68" t="s">
        <v>23</v>
      </c>
      <c r="J16" s="68" t="s">
        <v>24</v>
      </c>
      <c r="K16" s="68" t="s">
        <v>25</v>
      </c>
      <c r="L16" s="67" t="s">
        <v>180</v>
      </c>
      <c r="M16" s="134" t="s">
        <v>181</v>
      </c>
      <c r="N16" s="67" t="s">
        <v>26</v>
      </c>
    </row>
    <row r="17" spans="2:34">
      <c r="B17" s="432">
        <v>1</v>
      </c>
      <c r="C17" s="429">
        <f>DATE($B$11,MATCH($C$11,Data!$B$2:$B$13,0),HERRERA!$D$11)</f>
        <v>46276</v>
      </c>
      <c r="D17" s="430">
        <f>DATE($B$11,MATCH($C$11,Data!$B$2:$B$13,0),HERRERA!$D$11)</f>
        <v>46276</v>
      </c>
      <c r="E17" s="424">
        <v>0.33333333333333331</v>
      </c>
      <c r="F17" s="424">
        <v>0</v>
      </c>
      <c r="G17" s="424">
        <f t="shared" ref="G17:G28" si="0">E17-F17</f>
        <v>0.33333333333333331</v>
      </c>
      <c r="H17" s="424">
        <v>0.75</v>
      </c>
      <c r="I17" s="425">
        <v>1</v>
      </c>
      <c r="J17" s="425">
        <f t="shared" ref="J17:J31" si="1">IFERROR(IF(AND(G17&lt;&gt;"",H17&lt;&gt;""),IF(G17&gt;$B$14+TIME($C$14,($C$14-INT($C$14))*60,0),0,IF(H17&gt;$B$14+TIME($C$14,($C$14-INT($C$14))*60,0),MIN(TIME($C$14,($C$14-INT($C$14))*60,0),($B$14+TIME($C$14,($C$14-INT($C$14))*60,0)-G17)),MIN(IF((H17-$B$14)&lt;0,0,(H17-$B$14)),(H17-G17))))*24,"")-I17,"")</f>
        <v>9</v>
      </c>
      <c r="K17" s="425">
        <f t="shared" ref="K17:K22" si="2">IF(AND(G17&lt;&gt;"",H17&lt;&gt;""),((IF(G17&lt;$B$14,MIN($B$14-G17,H17-G17),0)+IF(H17&gt;$B$14+TIME($C$14,($C$14-INT($C$14))*60,0),MIN((H17-$B$14-TIME($C$14,($C$14-INT($C$14))*60,0)),(H17-G17)),0))*24),"")</f>
        <v>0</v>
      </c>
      <c r="L17" s="426">
        <f>E17-B14</f>
        <v>0</v>
      </c>
      <c r="M17" s="423">
        <f>(D14/60)*0</f>
        <v>0</v>
      </c>
      <c r="N17" s="427">
        <f>IFERROR(J17*IF(AND(ISNUMBER(SEARCH(TEXT(C17,"ddd"),$G$11)),Data!$F$2),$G$14,$D$14)+K17*$G$14,"")</f>
        <v>704.9189423076923</v>
      </c>
      <c r="O17" s="141">
        <f t="shared" ref="O17:O30" si="3">M17+N17</f>
        <v>704.9189423076923</v>
      </c>
      <c r="P17" s="100"/>
      <c r="Q17" s="89"/>
    </row>
    <row r="18" spans="2:34">
      <c r="B18" s="432">
        <v>2</v>
      </c>
      <c r="C18" s="429">
        <f t="shared" ref="C18:D31" si="4">C17+1</f>
        <v>46277</v>
      </c>
      <c r="D18" s="430">
        <f t="shared" si="4"/>
        <v>46277</v>
      </c>
      <c r="E18" s="424">
        <v>0.375</v>
      </c>
      <c r="F18" s="424">
        <v>0</v>
      </c>
      <c r="G18" s="424">
        <f t="shared" si="0"/>
        <v>0.375</v>
      </c>
      <c r="H18" s="424">
        <v>0.5</v>
      </c>
      <c r="I18" s="425">
        <v>0</v>
      </c>
      <c r="J18" s="425">
        <f t="shared" si="1"/>
        <v>3</v>
      </c>
      <c r="K18" s="425">
        <f t="shared" si="2"/>
        <v>0</v>
      </c>
      <c r="L18" s="426">
        <f>E18-B14</f>
        <v>4.1666666666666685E-2</v>
      </c>
      <c r="M18" s="423">
        <f>(D14/60)*0</f>
        <v>0</v>
      </c>
      <c r="N18" s="427">
        <f>IFERROR(J18*IF(AND(ISNUMBER(SEARCH(TEXT(C18,"ddd"),$G$11)),Data!$F$2),$G$14,$D$14)+K18*$G$14,"")</f>
        <v>234.97298076923079</v>
      </c>
      <c r="O18" s="141">
        <f t="shared" si="3"/>
        <v>234.97298076923079</v>
      </c>
      <c r="P18" s="89"/>
      <c r="Q18" s="89"/>
    </row>
    <row r="19" spans="2:34">
      <c r="B19" s="432"/>
      <c r="C19" s="429">
        <f t="shared" si="4"/>
        <v>46278</v>
      </c>
      <c r="D19" s="430">
        <f t="shared" si="4"/>
        <v>46278</v>
      </c>
      <c r="E19" s="424">
        <v>0</v>
      </c>
      <c r="F19" s="424">
        <v>0</v>
      </c>
      <c r="G19" s="424">
        <f t="shared" si="0"/>
        <v>0</v>
      </c>
      <c r="H19" s="424">
        <v>0</v>
      </c>
      <c r="I19" s="425">
        <v>0</v>
      </c>
      <c r="J19" s="425">
        <f>IFERROR(IF(AND(G19&lt;&gt;"",H19&lt;&gt;""),IF(G19&gt;$B$14+TIME($C$14,($C$14-INT($C$14))*60,0),0,IF(H19&gt;$B$14+TIME($C$14,($C$14-INT($C$14))*60,0),MIN(TIME($C$14,($C$14-INT($C$14))*60,0),($B$14+TIME($C$14,($C$14-INT($C$14))*60,0)-G19)),MIN(IF((H19-$B$14)&lt;0,0,(H19-$B$14)),(H19-G19))))*24,"")-I19,"")</f>
        <v>0</v>
      </c>
      <c r="K19" s="425">
        <f>IF(AND(G19&lt;&gt;"",H19&lt;&gt;""),((IF(G19&lt;$B$14,MIN($B$14-G19,H19-G19),0)+IF(H19&gt;$B$14+TIME($C$14,($C$14-INT($C$14))*60,0),MIN((H19-$B$14-TIME($C$14,($C$14-INT($C$14))*60,0)),(H19-G19)),0))*24),"")</f>
        <v>0</v>
      </c>
      <c r="L19" s="97">
        <v>0</v>
      </c>
      <c r="M19" s="98">
        <f>(D14/60)*0</f>
        <v>0</v>
      </c>
      <c r="N19" s="251">
        <f>IFERROR(J19*IF(AND(ISNUMBER(SEARCH(TEXT(C19,"ddd"),$G$11)),Data!$F$2),$G$14,$D$14)+K19*$G$14,"")</f>
        <v>0</v>
      </c>
      <c r="O19" s="141">
        <f t="shared" si="3"/>
        <v>0</v>
      </c>
      <c r="P19" s="100"/>
      <c r="Q19" s="104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</row>
    <row r="20" spans="2:34">
      <c r="B20" s="432">
        <v>3</v>
      </c>
      <c r="C20" s="429">
        <f t="shared" si="4"/>
        <v>46279</v>
      </c>
      <c r="D20" s="430">
        <f t="shared" si="4"/>
        <v>46279</v>
      </c>
      <c r="E20" s="424">
        <v>0.33333333333333331</v>
      </c>
      <c r="F20" s="424">
        <v>0</v>
      </c>
      <c r="G20" s="424">
        <f t="shared" si="0"/>
        <v>0.33333333333333331</v>
      </c>
      <c r="H20" s="424">
        <v>0.75</v>
      </c>
      <c r="I20" s="425">
        <v>1</v>
      </c>
      <c r="J20" s="425">
        <f t="shared" si="1"/>
        <v>9</v>
      </c>
      <c r="K20" s="425">
        <f t="shared" si="2"/>
        <v>0</v>
      </c>
      <c r="L20" s="426">
        <f>G20-B14</f>
        <v>0</v>
      </c>
      <c r="M20" s="423">
        <f>(D14/60)*0</f>
        <v>0</v>
      </c>
      <c r="N20" s="427">
        <f>IFERROR(J20*IF(AND(ISNUMBER(SEARCH(TEXT(C20,"ddd"),$G$11)),Data!$F$2),$G$14,$D$14)+K20*$G$14,"")</f>
        <v>704.9189423076923</v>
      </c>
      <c r="O20" s="141">
        <f t="shared" si="3"/>
        <v>704.9189423076923</v>
      </c>
      <c r="P20" s="103"/>
      <c r="Q20" s="103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28"/>
    </row>
    <row r="21" spans="2:34">
      <c r="B21" s="432">
        <v>4</v>
      </c>
      <c r="C21" s="429">
        <f t="shared" si="4"/>
        <v>46280</v>
      </c>
      <c r="D21" s="430">
        <f t="shared" si="4"/>
        <v>46280</v>
      </c>
      <c r="E21" s="424">
        <v>0.33333333333333331</v>
      </c>
      <c r="F21" s="424">
        <v>0</v>
      </c>
      <c r="G21" s="424">
        <f>E21-F21</f>
        <v>0.33333333333333331</v>
      </c>
      <c r="H21" s="424">
        <v>0.75</v>
      </c>
      <c r="I21" s="425">
        <v>1</v>
      </c>
      <c r="J21" s="425">
        <f>IFERROR(IF(AND(G21&lt;&gt;"",H21&lt;&gt;""),IF(G21&gt;$B$14+TIME($C$14,($C$14-INT($C$14))*60,0),0,IF(H21&gt;$B$14+TIME($C$14,($C$14-INT($C$14))*60,0),MIN(TIME($C$14,($C$14-INT($C$14))*60,0),($B$14+TIME($C$14,($C$14-INT($C$14))*60,0)-G21)),MIN(IF((H21-$B$14)&lt;0,0,(H21-$B$14)),(H21-G21))))*24,"")-I21,"")</f>
        <v>9</v>
      </c>
      <c r="K21" s="425">
        <f>IF(AND(G21&lt;&gt;"",H21&lt;&gt;""),((IF(G21&lt;$B$14,MIN($B$14-G21,H21-G21),0)+IF(H21&gt;$B$14+TIME($C$14,($C$14-INT($C$14))*60,0),MIN((H21-$B$14-TIME($C$14,($C$14-INT($C$14))*60,0)),(H21-G21)),0))*24),"")</f>
        <v>0</v>
      </c>
      <c r="L21" s="426">
        <f>E21-B14</f>
        <v>0</v>
      </c>
      <c r="M21" s="423">
        <f>(D14/60)*0</f>
        <v>0</v>
      </c>
      <c r="N21" s="427">
        <f>IFERROR(J21*IF(AND(ISNUMBER(SEARCH(TEXT(C21,"ddd"),$G$11)),Data!$F$2),$G$14,$D$14)+K21*$G$14,"")</f>
        <v>704.9189423076923</v>
      </c>
      <c r="O21" s="141">
        <f>M21+N21</f>
        <v>704.9189423076923</v>
      </c>
      <c r="P21" s="162"/>
      <c r="Q21" s="108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4"/>
    </row>
    <row r="22" spans="2:34">
      <c r="B22" s="432">
        <v>5</v>
      </c>
      <c r="C22" s="429">
        <f t="shared" si="4"/>
        <v>46281</v>
      </c>
      <c r="D22" s="430">
        <f t="shared" si="4"/>
        <v>46281</v>
      </c>
      <c r="E22" s="424">
        <v>0.33333333333333331</v>
      </c>
      <c r="F22" s="424">
        <v>0</v>
      </c>
      <c r="G22" s="424">
        <f t="shared" si="0"/>
        <v>0.33333333333333331</v>
      </c>
      <c r="H22" s="424">
        <v>0.75</v>
      </c>
      <c r="I22" s="425">
        <v>1</v>
      </c>
      <c r="J22" s="425">
        <f t="shared" si="1"/>
        <v>9</v>
      </c>
      <c r="K22" s="425">
        <f t="shared" si="2"/>
        <v>0</v>
      </c>
      <c r="L22" s="426">
        <f>E22-B14</f>
        <v>0</v>
      </c>
      <c r="M22" s="423">
        <v>0</v>
      </c>
      <c r="N22" s="427">
        <f>IFERROR(J22*IF(AND(ISNUMBER(SEARCH(TEXT(C22,"ddd"),$G$11)),Data!$F$2),$G$14,$D$14)+K22*$G$14,"")</f>
        <v>704.9189423076923</v>
      </c>
      <c r="O22" s="141">
        <f t="shared" si="3"/>
        <v>704.9189423076923</v>
      </c>
      <c r="P22" s="163">
        <f>O21-O22</f>
        <v>0</v>
      </c>
      <c r="Q22" s="135"/>
      <c r="R22" s="96">
        <v>0.40486111111111101</v>
      </c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4"/>
    </row>
    <row r="23" spans="2:34">
      <c r="B23" s="432">
        <v>6</v>
      </c>
      <c r="C23" s="429">
        <f t="shared" si="4"/>
        <v>46282</v>
      </c>
      <c r="D23" s="430">
        <f t="shared" si="4"/>
        <v>46282</v>
      </c>
      <c r="E23" s="424">
        <v>0.33333333333333331</v>
      </c>
      <c r="F23" s="424">
        <v>0</v>
      </c>
      <c r="G23" s="424">
        <f>E23-F23</f>
        <v>0.33333333333333331</v>
      </c>
      <c r="H23" s="424">
        <v>0.75</v>
      </c>
      <c r="I23" s="425">
        <v>1</v>
      </c>
      <c r="J23" s="425">
        <f>IFERROR(IF(AND(G23&lt;&gt;"",H23&lt;&gt;""),IF(G23&gt;$B$14+TIME($C$14,($C$14-INT($C$14))*60,0),0,IF(H23&gt;$B$14+TIME($C$14,($C$14-INT($C$14))*60,0),MIN(TIME($C$14,($C$14-INT($C$14))*60,0),($B$14+TIME($C$14,($C$14-INT($C$14))*60,0)-G23)),MIN(IF((H23-$B$14)&lt;0,0,(H23-$B$14)),(H23-G23))))*24,"")-I23,"")</f>
        <v>9</v>
      </c>
      <c r="K23" s="425">
        <f>IF(AND(G23&lt;&gt;"",H23&lt;&gt;""),((IF(G23&lt;$B$14,MIN($B$14-G23,H23-G23),0)+IF(H23&gt;$B$14+TIME($C$14,($C$14-INT($C$14))*60,0),MIN((H23-$B$14-TIME($C$14,($C$14-INT($C$14))*60,0)),(H23-G23)),0))*24),"")</f>
        <v>0</v>
      </c>
      <c r="L23" s="426">
        <f>E23-B14</f>
        <v>0</v>
      </c>
      <c r="M23" s="423">
        <f>(D14/60)*0</f>
        <v>0</v>
      </c>
      <c r="N23" s="427">
        <f>IFERROR(J23*IF(AND(ISNUMBER(SEARCH(TEXT(C23,"ddd"),$G$11)),Data!$F$2),$G$14,$D$14)+K23*$G$14,"")</f>
        <v>704.9189423076923</v>
      </c>
      <c r="O23" s="141">
        <f>M23+N23</f>
        <v>704.9189423076923</v>
      </c>
      <c r="P23" s="150"/>
      <c r="Q23" s="89"/>
      <c r="R23" s="96">
        <v>1.0416666666666701E-2</v>
      </c>
    </row>
    <row r="24" spans="2:34">
      <c r="B24" s="432">
        <v>7</v>
      </c>
      <c r="C24" s="429">
        <f t="shared" si="4"/>
        <v>46283</v>
      </c>
      <c r="D24" s="430">
        <f t="shared" si="4"/>
        <v>46283</v>
      </c>
      <c r="E24" s="424">
        <v>0.33333333333333331</v>
      </c>
      <c r="F24" s="424">
        <v>0</v>
      </c>
      <c r="G24" s="424">
        <f t="shared" si="0"/>
        <v>0.33333333333333331</v>
      </c>
      <c r="H24" s="424">
        <v>0.75</v>
      </c>
      <c r="I24" s="425">
        <v>1</v>
      </c>
      <c r="J24" s="425">
        <f t="shared" si="1"/>
        <v>9</v>
      </c>
      <c r="K24" s="425">
        <v>0</v>
      </c>
      <c r="L24" s="426">
        <f>G24-B14</f>
        <v>0</v>
      </c>
      <c r="M24" s="423">
        <f>(D14/60)*0</f>
        <v>0</v>
      </c>
      <c r="N24" s="427">
        <f>IFERROR(J24*IF(AND(ISNUMBER(SEARCH(TEXT(C24,"ddd"),$G$11)),Data!$F$2),$G$14,$D$14)+K24*$G$14,"")</f>
        <v>704.9189423076923</v>
      </c>
      <c r="O24" s="141">
        <f t="shared" si="3"/>
        <v>704.9189423076923</v>
      </c>
      <c r="P24" s="155"/>
      <c r="Q24" s="89"/>
      <c r="R24" s="129">
        <f>R22-R23</f>
        <v>0.39444444444444432</v>
      </c>
    </row>
    <row r="25" spans="2:34">
      <c r="B25" s="432">
        <v>8</v>
      </c>
      <c r="C25" s="429">
        <f t="shared" si="4"/>
        <v>46284</v>
      </c>
      <c r="D25" s="430">
        <f t="shared" si="4"/>
        <v>46284</v>
      </c>
      <c r="E25" s="424">
        <v>0.375</v>
      </c>
      <c r="F25" s="424">
        <v>0</v>
      </c>
      <c r="G25" s="424">
        <f t="shared" si="0"/>
        <v>0.375</v>
      </c>
      <c r="H25" s="424">
        <v>0.5</v>
      </c>
      <c r="I25" s="425">
        <v>0</v>
      </c>
      <c r="J25" s="425">
        <f t="shared" si="1"/>
        <v>3</v>
      </c>
      <c r="K25" s="425">
        <f t="shared" ref="K25:K29" si="5">IF(AND(G25&lt;&gt;"",H25&lt;&gt;""),((IF(G25&lt;$B$14,MIN($B$14-G25,H25-G25),0)+IF(H25&gt;$B$14+TIME($C$14,($C$14-INT($C$14))*60,0),MIN((H25-$B$14-TIME($C$14,($C$14-INT($C$14))*60,0)),(H25-G25)),0))*24),"")</f>
        <v>0</v>
      </c>
      <c r="L25" s="426">
        <f>E25-B14</f>
        <v>4.1666666666666685E-2</v>
      </c>
      <c r="M25" s="423">
        <v>0</v>
      </c>
      <c r="N25" s="427">
        <f>IFERROR(J25*IF(AND(ISNUMBER(SEARCH(TEXT(C25,"ddd"),$G$11)),Data!$F$2),$G$14,$D$14)+K25*$G$14,"")</f>
        <v>234.97298076923079</v>
      </c>
      <c r="O25" s="141">
        <f t="shared" si="3"/>
        <v>234.97298076923079</v>
      </c>
      <c r="P25" s="89"/>
      <c r="Q25" s="89"/>
    </row>
    <row r="26" spans="2:34">
      <c r="B26" s="432"/>
      <c r="C26" s="429">
        <f t="shared" si="4"/>
        <v>46285</v>
      </c>
      <c r="D26" s="430">
        <f t="shared" si="4"/>
        <v>46285</v>
      </c>
      <c r="E26" s="424">
        <v>0</v>
      </c>
      <c r="F26" s="424">
        <v>0</v>
      </c>
      <c r="G26" s="424">
        <f t="shared" si="0"/>
        <v>0</v>
      </c>
      <c r="H26" s="424">
        <v>0</v>
      </c>
      <c r="I26" s="425">
        <v>0</v>
      </c>
      <c r="J26" s="425">
        <f t="shared" si="1"/>
        <v>0</v>
      </c>
      <c r="K26" s="425">
        <f t="shared" si="5"/>
        <v>0</v>
      </c>
      <c r="L26" s="97">
        <v>0</v>
      </c>
      <c r="M26" s="98">
        <f>(D14/60)*0</f>
        <v>0</v>
      </c>
      <c r="N26" s="251">
        <f>IFERROR(J26*IF(AND(ISNUMBER(SEARCH(TEXT(C26,"ddd"),$G$11)),Data!$F$2),$G$14,$D$14)+K26*$G$14,"")</f>
        <v>0</v>
      </c>
      <c r="O26" s="141">
        <f t="shared" si="3"/>
        <v>0</v>
      </c>
      <c r="P26" s="89"/>
      <c r="Q26" s="89"/>
    </row>
    <row r="27" spans="2:34">
      <c r="B27" s="432">
        <v>9</v>
      </c>
      <c r="C27" s="429">
        <f t="shared" si="4"/>
        <v>46286</v>
      </c>
      <c r="D27" s="430">
        <f t="shared" si="4"/>
        <v>46286</v>
      </c>
      <c r="E27" s="424">
        <v>0.33333333333333331</v>
      </c>
      <c r="F27" s="424">
        <v>0</v>
      </c>
      <c r="G27" s="424">
        <f t="shared" ref="G27" si="6">E27-F27</f>
        <v>0.33333333333333331</v>
      </c>
      <c r="H27" s="424">
        <v>0.75</v>
      </c>
      <c r="I27" s="425">
        <v>1</v>
      </c>
      <c r="J27" s="425">
        <f t="shared" ref="J27" si="7">IFERROR(IF(AND(G27&lt;&gt;"",H27&lt;&gt;""),IF(G27&gt;$B$14+TIME($C$14,($C$14-INT($C$14))*60,0),0,IF(H27&gt;$B$14+TIME($C$14,($C$14-INT($C$14))*60,0),MIN(TIME($C$14,($C$14-INT($C$14))*60,0),($B$14+TIME($C$14,($C$14-INT($C$14))*60,0)-G27)),MIN(IF((H27-$B$14)&lt;0,0,(H27-$B$14)),(H27-G27))))*24,"")-I27,"")</f>
        <v>9</v>
      </c>
      <c r="K27" s="425">
        <f t="shared" si="5"/>
        <v>0</v>
      </c>
      <c r="L27" s="426">
        <v>0</v>
      </c>
      <c r="M27" s="423">
        <f>(D14/60)*0</f>
        <v>0</v>
      </c>
      <c r="N27" s="427">
        <f>IFERROR(J27*IF(AND(ISNUMBER(SEARCH(TEXT(C27,"ddd"),$G$11)),Data!$F$2),$G$14,$D$14)+K27*$G$14,"")</f>
        <v>704.9189423076923</v>
      </c>
      <c r="O27" s="141">
        <f t="shared" si="3"/>
        <v>704.9189423076923</v>
      </c>
      <c r="P27" s="127"/>
      <c r="Q27" s="89"/>
    </row>
    <row r="28" spans="2:34">
      <c r="B28" s="432">
        <v>10</v>
      </c>
      <c r="C28" s="429">
        <f t="shared" si="4"/>
        <v>46287</v>
      </c>
      <c r="D28" s="430">
        <f t="shared" si="4"/>
        <v>46287</v>
      </c>
      <c r="E28" s="424">
        <v>0.33333333333333331</v>
      </c>
      <c r="F28" s="424">
        <v>0</v>
      </c>
      <c r="G28" s="424">
        <f t="shared" si="0"/>
        <v>0.33333333333333331</v>
      </c>
      <c r="H28" s="424">
        <v>0.75</v>
      </c>
      <c r="I28" s="425">
        <v>1</v>
      </c>
      <c r="J28" s="425">
        <f t="shared" si="1"/>
        <v>9</v>
      </c>
      <c r="K28" s="425">
        <f t="shared" si="5"/>
        <v>0</v>
      </c>
      <c r="L28" s="426">
        <f>G28-B14</f>
        <v>0</v>
      </c>
      <c r="M28" s="423">
        <f>(D14/60)*0</f>
        <v>0</v>
      </c>
      <c r="N28" s="427">
        <f>IFERROR(J28*IF(AND(ISNUMBER(SEARCH(TEXT(C28,"ddd"),$G$11)),Data!$F$2),$G$14,$D$14)+K28*$G$14,"")</f>
        <v>704.9189423076923</v>
      </c>
      <c r="O28" s="141">
        <f t="shared" si="3"/>
        <v>704.9189423076923</v>
      </c>
      <c r="Q28" s="89"/>
    </row>
    <row r="29" spans="2:34">
      <c r="B29" s="432">
        <v>11</v>
      </c>
      <c r="C29" s="429">
        <f t="shared" si="4"/>
        <v>46288</v>
      </c>
      <c r="D29" s="430">
        <f t="shared" si="4"/>
        <v>46288</v>
      </c>
      <c r="E29" s="424">
        <v>0.33333333333333331</v>
      </c>
      <c r="F29" s="424">
        <v>0</v>
      </c>
      <c r="G29" s="424">
        <f>E29-F29</f>
        <v>0.33333333333333331</v>
      </c>
      <c r="H29" s="424">
        <v>0.75</v>
      </c>
      <c r="I29" s="425">
        <v>1</v>
      </c>
      <c r="J29" s="425">
        <f t="shared" si="1"/>
        <v>9</v>
      </c>
      <c r="K29" s="425">
        <f t="shared" si="5"/>
        <v>0</v>
      </c>
      <c r="L29" s="426">
        <v>0</v>
      </c>
      <c r="M29" s="423">
        <f>(D14/60)*0</f>
        <v>0</v>
      </c>
      <c r="N29" s="427">
        <f>IFERROR(J29*IF(AND(ISNUMBER(SEARCH(TEXT(C29,"ddd"),$G$11)),Data!$F$2),$G$14,$D$14)+K29*$G$14,"")</f>
        <v>704.9189423076923</v>
      </c>
      <c r="O29" s="141">
        <f>M29+N29</f>
        <v>704.9189423076923</v>
      </c>
      <c r="P29" s="95">
        <f>O28-O29</f>
        <v>0</v>
      </c>
      <c r="Q29" s="89"/>
    </row>
    <row r="30" spans="2:34">
      <c r="B30" s="432">
        <v>12</v>
      </c>
      <c r="C30" s="429">
        <f t="shared" si="4"/>
        <v>46289</v>
      </c>
      <c r="D30" s="430">
        <f t="shared" si="4"/>
        <v>46289</v>
      </c>
      <c r="E30" s="424">
        <v>0.33333333333333331</v>
      </c>
      <c r="F30" s="424">
        <v>0</v>
      </c>
      <c r="G30" s="424">
        <f>E30-F30</f>
        <v>0.33333333333333331</v>
      </c>
      <c r="H30" s="424">
        <v>0.75</v>
      </c>
      <c r="I30" s="425">
        <v>1</v>
      </c>
      <c r="J30" s="425">
        <f t="shared" si="1"/>
        <v>9</v>
      </c>
      <c r="K30" s="425">
        <v>0</v>
      </c>
      <c r="L30" s="426">
        <f>G30-B14</f>
        <v>0</v>
      </c>
      <c r="M30" s="423">
        <f>(D14/60)*0</f>
        <v>0</v>
      </c>
      <c r="N30" s="427">
        <f>IFERROR(J30*IF(AND(ISNUMBER(SEARCH(TEXT(C30,"ddd"),$G$11)),Data!$F$2),$G$14,$D$14)+K30*$G$14,"")</f>
        <v>704.9189423076923</v>
      </c>
      <c r="O30" s="141">
        <f t="shared" si="3"/>
        <v>704.9189423076923</v>
      </c>
      <c r="P30" s="127"/>
      <c r="Q30" s="89"/>
    </row>
    <row r="31" spans="2:34">
      <c r="B31" s="432">
        <v>13</v>
      </c>
      <c r="C31" s="429">
        <f t="shared" si="4"/>
        <v>46290</v>
      </c>
      <c r="D31" s="430">
        <f t="shared" si="4"/>
        <v>46290</v>
      </c>
      <c r="E31" s="424">
        <v>0.33333333333333331</v>
      </c>
      <c r="F31" s="424">
        <v>0</v>
      </c>
      <c r="G31" s="424">
        <f>E31-F31</f>
        <v>0.33333333333333331</v>
      </c>
      <c r="H31" s="424">
        <v>0.75</v>
      </c>
      <c r="I31" s="425">
        <v>1</v>
      </c>
      <c r="J31" s="425">
        <f t="shared" si="1"/>
        <v>9</v>
      </c>
      <c r="K31" s="425">
        <v>0</v>
      </c>
      <c r="L31" s="426">
        <f>E31-B14</f>
        <v>0</v>
      </c>
      <c r="M31" s="423">
        <f>(D14/60)*0</f>
        <v>0</v>
      </c>
      <c r="N31" s="427">
        <f>IFERROR(J31*IF(AND(ISNUMBER(SEARCH(TEXT(C31,"ddd"),$G$11)),Data!$F$2),$G$14,$D$14)+K31*$G$14,"")</f>
        <v>704.9189423076923</v>
      </c>
      <c r="O31" s="141">
        <f>M31+N31</f>
        <v>704.9189423076923</v>
      </c>
      <c r="P31" s="95">
        <f>O28-O31</f>
        <v>0</v>
      </c>
    </row>
    <row r="32" spans="2:34">
      <c r="B32" s="441"/>
      <c r="C32" s="442"/>
      <c r="D32" s="443"/>
      <c r="E32" s="444"/>
      <c r="F32" s="444"/>
      <c r="G32" s="593" t="s">
        <v>182</v>
      </c>
      <c r="H32" s="594"/>
      <c r="I32" s="445">
        <f>SUM(I17:I31)</f>
        <v>11</v>
      </c>
      <c r="J32" s="445">
        <f>SUM(J17:J31)</f>
        <v>105</v>
      </c>
      <c r="K32" s="445">
        <f>SUM(K17:K31)</f>
        <v>0</v>
      </c>
      <c r="L32" s="445">
        <f>SUM(L17:L31)</f>
        <v>8.333333333333337E-2</v>
      </c>
      <c r="M32" s="445">
        <f>SUM(M17:M31)</f>
        <v>0</v>
      </c>
      <c r="N32" s="441"/>
      <c r="O32" s="165">
        <f>SUM(O17:O31)</f>
        <v>8224.0543269230766</v>
      </c>
      <c r="P32" s="165">
        <f>SUM(P17:P31)</f>
        <v>0</v>
      </c>
      <c r="Q32" s="95">
        <f>O32+P32</f>
        <v>8224.0543269230766</v>
      </c>
    </row>
    <row r="33" spans="2:17">
      <c r="B33" s="441"/>
      <c r="C33" s="442"/>
      <c r="D33" s="443"/>
      <c r="E33" s="444"/>
      <c r="F33" s="444"/>
      <c r="G33" s="459" t="s">
        <v>39</v>
      </c>
      <c r="H33" s="460"/>
      <c r="I33" s="461"/>
      <c r="J33" s="462"/>
      <c r="K33" s="463"/>
      <c r="L33" s="423">
        <f>(D14/60)*11</f>
        <v>14.359459935897435</v>
      </c>
      <c r="M33" s="465"/>
      <c r="N33" s="466">
        <f>D14*H14</f>
        <v>8224.0543269230766</v>
      </c>
      <c r="O33" s="95"/>
      <c r="P33" s="95"/>
      <c r="Q33" s="95"/>
    </row>
    <row r="34" spans="2:17">
      <c r="B34" s="65"/>
      <c r="C34" s="65"/>
      <c r="D34" s="85"/>
      <c r="E34" s="85"/>
      <c r="F34" s="85"/>
      <c r="G34" s="592" t="s">
        <v>183</v>
      </c>
      <c r="H34" s="592"/>
      <c r="I34" s="80"/>
      <c r="J34" s="80">
        <f>H14-J32</f>
        <v>0</v>
      </c>
      <c r="K34" s="65"/>
      <c r="L34" s="120"/>
      <c r="M34" s="65"/>
      <c r="N34" s="121">
        <f>M32</f>
        <v>0</v>
      </c>
      <c r="O34" s="151">
        <f>O32-O33</f>
        <v>8224.0543269230766</v>
      </c>
      <c r="P34" s="95"/>
      <c r="Q34" s="95"/>
    </row>
    <row r="35" spans="2:17">
      <c r="B35" s="65"/>
      <c r="C35" s="65"/>
      <c r="D35" s="85"/>
      <c r="E35" s="145"/>
      <c r="F35" s="145"/>
      <c r="G35" s="78" t="s">
        <v>41</v>
      </c>
      <c r="H35" s="79"/>
      <c r="I35" s="66"/>
      <c r="J35" s="66"/>
      <c r="K35" s="80"/>
      <c r="L35" s="80"/>
      <c r="M35" s="80"/>
      <c r="N35" s="121">
        <f>N33-N34</f>
        <v>8224.0543269230766</v>
      </c>
      <c r="O35" s="95"/>
      <c r="P35" s="95"/>
      <c r="Q35" s="95"/>
    </row>
    <row r="36" spans="2:17">
      <c r="B36" s="65"/>
      <c r="C36" s="65"/>
      <c r="D36" s="85"/>
      <c r="E36" s="146"/>
      <c r="F36" s="146"/>
      <c r="G36" s="604" t="s">
        <v>184</v>
      </c>
      <c r="H36" s="605"/>
      <c r="I36" s="80"/>
      <c r="J36" s="66"/>
      <c r="K36" s="122"/>
      <c r="L36" s="122"/>
      <c r="M36" s="122"/>
      <c r="N36" s="123">
        <f>K32*G14</f>
        <v>0</v>
      </c>
      <c r="O36" s="95"/>
    </row>
    <row r="37" spans="2:17">
      <c r="B37" s="65"/>
      <c r="C37" s="65"/>
      <c r="D37" s="85"/>
      <c r="E37" s="146"/>
      <c r="F37" s="146"/>
      <c r="G37" s="86" t="s">
        <v>185</v>
      </c>
      <c r="H37" s="87"/>
      <c r="I37" s="80"/>
      <c r="J37" s="66"/>
      <c r="K37" s="122"/>
      <c r="L37" s="122"/>
      <c r="M37" s="122"/>
      <c r="N37" s="123">
        <v>0</v>
      </c>
      <c r="O37" s="95"/>
    </row>
    <row r="38" spans="2:17">
      <c r="B38" s="65"/>
      <c r="C38" s="65"/>
      <c r="D38" s="85"/>
      <c r="E38" s="145"/>
      <c r="F38" s="145"/>
      <c r="G38" s="597" t="s">
        <v>186</v>
      </c>
      <c r="H38" s="598"/>
      <c r="I38" s="66"/>
      <c r="J38" s="66"/>
      <c r="K38" s="66"/>
      <c r="L38" s="66"/>
      <c r="M38" s="66"/>
      <c r="N38" s="124">
        <f>N35+N36+N37</f>
        <v>8224.0543269230766</v>
      </c>
      <c r="O38" s="95"/>
    </row>
    <row r="39" spans="2:17">
      <c r="D39" s="88"/>
      <c r="E39" s="88"/>
      <c r="F39" s="88"/>
      <c r="G39" s="589"/>
      <c r="H39" s="589"/>
      <c r="I39" s="90"/>
      <c r="J39" s="90"/>
      <c r="K39" s="125"/>
      <c r="L39" s="125"/>
      <c r="M39" s="125"/>
      <c r="N39" s="126"/>
      <c r="O39" s="127"/>
    </row>
    <row r="40" spans="2:17">
      <c r="D40" s="91"/>
      <c r="E40" s="91"/>
      <c r="F40" s="91"/>
      <c r="M40" t="s">
        <v>196</v>
      </c>
    </row>
    <row r="41" spans="2:17">
      <c r="B41" s="590" t="s">
        <v>187</v>
      </c>
      <c r="C41" s="590"/>
      <c r="D41" s="590"/>
      <c r="E41" s="590"/>
      <c r="F41" s="590"/>
      <c r="G41" s="590"/>
      <c r="H41" s="590"/>
      <c r="I41" s="590"/>
      <c r="J41" s="590"/>
      <c r="K41" s="590"/>
      <c r="L41" s="590"/>
      <c r="M41" s="590"/>
      <c r="N41" s="590"/>
    </row>
    <row r="42" spans="2:17">
      <c r="D42" s="91"/>
      <c r="E42" s="91"/>
      <c r="F42" s="91"/>
    </row>
    <row r="43" spans="2:17">
      <c r="D43" s="91" t="s">
        <v>188</v>
      </c>
      <c r="E43" s="91"/>
      <c r="F43" s="91"/>
      <c r="N43" s="95"/>
    </row>
    <row r="44" spans="2:17">
      <c r="D44" s="54" t="s">
        <v>10</v>
      </c>
      <c r="E44" s="54"/>
      <c r="F44" s="54"/>
      <c r="G44" s="54" t="s">
        <v>11</v>
      </c>
      <c r="H44" s="54" t="s">
        <v>12</v>
      </c>
      <c r="I44" s="55" t="s">
        <v>13</v>
      </c>
    </row>
    <row r="45" spans="2:17">
      <c r="D45" s="56">
        <v>2026</v>
      </c>
      <c r="E45" s="56"/>
      <c r="F45" s="56"/>
      <c r="G45" s="56" t="s">
        <v>204</v>
      </c>
      <c r="H45" s="56">
        <v>12</v>
      </c>
      <c r="I45" s="56" t="s">
        <v>15</v>
      </c>
    </row>
    <row r="46" spans="2:17">
      <c r="D46" s="57"/>
      <c r="E46" s="57"/>
      <c r="F46" s="57"/>
      <c r="G46" s="57"/>
    </row>
    <row r="47" spans="2:17" ht="33.75">
      <c r="D47" s="159" t="s">
        <v>16</v>
      </c>
      <c r="E47" s="159"/>
      <c r="F47" s="159"/>
      <c r="G47" s="159" t="s">
        <v>17</v>
      </c>
      <c r="H47" s="159" t="s">
        <v>18</v>
      </c>
      <c r="I47" s="159" t="s">
        <v>19</v>
      </c>
    </row>
    <row r="48" spans="2:17">
      <c r="D48" s="61">
        <v>0.33333333333333298</v>
      </c>
      <c r="E48" s="61"/>
      <c r="F48" s="61"/>
      <c r="G48" s="62">
        <v>10</v>
      </c>
      <c r="H48" s="63">
        <f>D14</f>
        <v>78.324326923076924</v>
      </c>
      <c r="I48" s="130">
        <f>(H48*30%)+H48</f>
        <v>101.821625</v>
      </c>
    </row>
    <row r="50" spans="3:14">
      <c r="C50" s="131" t="s">
        <v>20</v>
      </c>
      <c r="D50" s="131" t="s">
        <v>12</v>
      </c>
      <c r="E50" s="131"/>
      <c r="F50" s="131"/>
      <c r="G50" s="131" t="s">
        <v>21</v>
      </c>
      <c r="H50" s="131" t="s">
        <v>22</v>
      </c>
      <c r="I50" s="131" t="s">
        <v>23</v>
      </c>
      <c r="J50" s="131" t="s">
        <v>24</v>
      </c>
      <c r="K50" s="131" t="s">
        <v>25</v>
      </c>
      <c r="L50" s="131"/>
      <c r="M50" s="131"/>
      <c r="N50" s="131" t="s">
        <v>26</v>
      </c>
    </row>
    <row r="51" spans="3:14">
      <c r="C51" s="70" t="s">
        <v>353</v>
      </c>
      <c r="D51" s="71">
        <v>12</v>
      </c>
      <c r="E51" s="71"/>
      <c r="F51" s="71"/>
      <c r="G51" s="72">
        <v>0.33333333333333331</v>
      </c>
      <c r="H51" s="72">
        <v>0.75</v>
      </c>
      <c r="I51" s="73">
        <v>1</v>
      </c>
      <c r="J51" s="73">
        <f t="shared" ref="J51" si="8">IFERROR(IF(AND(G51&lt;&gt;"",H51&lt;&gt;""),IF(G51&gt;$B$14+TIME($C$14,($C$14-INT($C$14))*60,0),0,IF(H51&gt;$B$14+TIME($C$14,($C$14-INT($C$14))*60,0),MIN(TIME($C$14,($C$14-INT($C$14))*60,0),($B$14+TIME($C$14,($C$14-INT($C$14))*60,0)-G51)),MIN(IF((H51-$B$14)&lt;0,0,(H51-$B$14)),(H51-G51))))*24,"")-I51,"")</f>
        <v>9</v>
      </c>
      <c r="K51" s="73">
        <f>IF(AND(G51&lt;&gt;"",H51&lt;&gt;""),((IF(G51&lt;$D$48,MIN($D$48-G51,H51-G51),0)+IF(H51&gt;$D$48+TIME($G$48,($G$48-INT($G$48))*60,0),MIN((H51-$D$48-TIME($G$48,($G$48-INT($G$48))*60,0)),(H51-G51)),0))*24),"")</f>
        <v>0</v>
      </c>
      <c r="L51" s="73"/>
      <c r="M51" s="73"/>
      <c r="N51" s="99">
        <f>(H48*J51)+704.92*30%</f>
        <v>916.3949423076923</v>
      </c>
    </row>
    <row r="52" spans="3:14">
      <c r="C52" s="70"/>
      <c r="D52" s="71"/>
      <c r="E52" s="71"/>
      <c r="F52" s="71"/>
      <c r="G52" s="72"/>
      <c r="H52" s="72"/>
      <c r="I52" s="73"/>
      <c r="J52" s="73"/>
      <c r="K52" s="73"/>
      <c r="L52" s="73"/>
      <c r="M52" s="73"/>
      <c r="N52" s="99"/>
    </row>
    <row r="53" spans="3:14"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318">
        <f>SUM(N51:N52)</f>
        <v>916.3949423076923</v>
      </c>
    </row>
    <row r="54" spans="3:14">
      <c r="N54" s="138"/>
    </row>
    <row r="55" spans="3:14">
      <c r="C55" s="132" t="s">
        <v>190</v>
      </c>
      <c r="D55" s="132"/>
      <c r="N55" s="138"/>
    </row>
    <row r="56" spans="3:14">
      <c r="N56" s="138"/>
    </row>
    <row r="57" spans="3:14">
      <c r="C57" s="591">
        <v>44981</v>
      </c>
      <c r="D57" s="591"/>
      <c r="E57" s="591"/>
      <c r="F57" s="88">
        <v>704.92</v>
      </c>
      <c r="G57" s="148" t="s">
        <v>280</v>
      </c>
      <c r="H57" s="254"/>
      <c r="N57" s="138"/>
    </row>
    <row r="58" spans="3:14">
      <c r="D58" s="88"/>
      <c r="E58" s="88"/>
      <c r="F58" s="256">
        <f>F57*G58</f>
        <v>211.47599999999997</v>
      </c>
      <c r="G58" s="253">
        <v>0.3</v>
      </c>
      <c r="H58" s="254"/>
      <c r="N58" s="138"/>
    </row>
    <row r="59" spans="3:14">
      <c r="D59" s="91"/>
      <c r="E59" s="91"/>
      <c r="F59" s="91"/>
      <c r="N59" s="138"/>
    </row>
    <row r="60" spans="3:14">
      <c r="D60" s="91"/>
      <c r="E60" s="91"/>
      <c r="F60" s="91"/>
      <c r="G60" s="257">
        <f>F58</f>
        <v>211.47599999999997</v>
      </c>
      <c r="N60" s="138"/>
    </row>
    <row r="61" spans="3:14">
      <c r="N61" s="138"/>
    </row>
    <row r="62" spans="3:14">
      <c r="D62" s="132"/>
      <c r="E62" s="132"/>
      <c r="F62" s="132"/>
      <c r="G62" s="133"/>
      <c r="H62" s="133"/>
      <c r="I62" s="133"/>
    </row>
    <row r="63" spans="3:14">
      <c r="D63" s="132"/>
      <c r="E63" s="132"/>
      <c r="F63" s="132"/>
      <c r="G63" s="133"/>
      <c r="H63" s="133"/>
      <c r="I63" s="133"/>
    </row>
    <row r="64" spans="3:14">
      <c r="F64" s="132"/>
      <c r="G64" s="133"/>
      <c r="H64" s="133"/>
      <c r="I64" s="133"/>
    </row>
    <row r="65" spans="3:8">
      <c r="G65" s="606"/>
      <c r="H65" s="606"/>
    </row>
    <row r="68" spans="3:8">
      <c r="C68" s="91" t="s">
        <v>141</v>
      </c>
    </row>
    <row r="69" spans="3:8">
      <c r="C69" t="s">
        <v>66</v>
      </c>
    </row>
    <row r="70" spans="3:8">
      <c r="C70" s="91"/>
    </row>
  </sheetData>
  <mergeCells count="13">
    <mergeCell ref="G32:H32"/>
    <mergeCell ref="A6:N6"/>
    <mergeCell ref="C7:D7"/>
    <mergeCell ref="M7:O7"/>
    <mergeCell ref="C8:D8"/>
    <mergeCell ref="M8:O8"/>
    <mergeCell ref="G65:H65"/>
    <mergeCell ref="G34:H34"/>
    <mergeCell ref="G36:H36"/>
    <mergeCell ref="G38:H38"/>
    <mergeCell ref="G39:H39"/>
    <mergeCell ref="B41:N41"/>
    <mergeCell ref="C57:E57"/>
  </mergeCells>
  <conditionalFormatting sqref="C17:D17">
    <cfRule type="expression" dxfId="161" priority="132">
      <formula>ISNUMBER(SEARCH(TEXT($B17,"ddd"),$F$10))</formula>
    </cfRule>
  </conditionalFormatting>
  <conditionalFormatting sqref="C18:D31">
    <cfRule type="expression" dxfId="160" priority="134">
      <formula>ISNUMBER(SEARCH(TEXT($C18,"ddd"),$G$11))</formula>
    </cfRule>
  </conditionalFormatting>
  <conditionalFormatting sqref="C51:N52">
    <cfRule type="expression" dxfId="159" priority="35">
      <formula>ISNUMBER(SEARCH(TEXT($C51,"ddd"),$G$11))</formula>
    </cfRule>
  </conditionalFormatting>
  <conditionalFormatting sqref="E17:K31">
    <cfRule type="expression" dxfId="158" priority="1">
      <formula>ISNUMBER(SEARCH(TEXT($C17,"ddd"),$G$11))</formula>
    </cfRule>
  </conditionalFormatting>
  <conditionalFormatting sqref="N17:N31">
    <cfRule type="expression" dxfId="157" priority="112">
      <formula>ISNUMBER(SEARCH(TEXT($B17,"ddd"),$F$10))</formula>
    </cfRule>
  </conditionalFormatting>
  <dataValidations count="5">
    <dataValidation type="list" allowBlank="1" showInputMessage="1" showErrorMessage="1" sqref="D11 H45" xr:uid="{00000000-0002-0000-2300-000000000000}">
      <formula1>DateCalc</formula1>
    </dataValidation>
    <dataValidation type="custom" allowBlank="1" showInputMessage="1" showErrorMessage="1" sqref="H51:H52 H17:H31" xr:uid="{00000000-0002-0000-2300-000001000000}">
      <formula1>AND($H17&lt;=1,ISNUMBER($H17),($H17&gt;=$G17))</formula1>
    </dataValidation>
    <dataValidation type="custom" allowBlank="1" showInputMessage="1" showErrorMessage="1" sqref="G51:G52 E17:G31" xr:uid="{00000000-0002-0000-2300-000002000000}">
      <formula1>AND($G17&lt;=1,ISNUMBER($G17))</formula1>
    </dataValidation>
    <dataValidation type="list" allowBlank="1" showInputMessage="1" showErrorMessage="1" sqref="E11:F11" xr:uid="{00000000-0002-0000-2300-000003000000}">
      <formula1>HERRERA!DateCalc</formula1>
    </dataValidation>
    <dataValidation type="list" allowBlank="1" showInputMessage="1" showErrorMessage="1" sqref="G11" xr:uid="{00000000-0002-0000-2300-000007000000}"/>
  </dataValidations>
  <pageMargins left="1.07083333333333" right="0.25" top="0.359722222222222" bottom="0.39791666666666697" header="0.29861111111111099" footer="0.29861111111111099"/>
  <pageSetup paperSize="9" scale="91" orientation="landscape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99361" r:id="rId4" name="Check Box 1">
              <controlPr defaultSize="0" print="0" autoPict="0">
                <anchor moveWithCells="1">
                  <from>
                    <xdr:col>7</xdr:col>
                    <xdr:colOff>180975</xdr:colOff>
                    <xdr:row>9</xdr:row>
                    <xdr:rowOff>28575</xdr:rowOff>
                  </from>
                  <to>
                    <xdr:col>8</xdr:col>
                    <xdr:colOff>571500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2300-000004000000}">
          <x14:formula1>
            <xm:f>Data!$D$2:$D$16</xm:f>
          </x14:formula1>
          <xm:sqref>I45</xm:sqref>
        </x14:dataValidation>
        <x14:dataValidation type="list" allowBlank="1" showInputMessage="1" showErrorMessage="1" xr:uid="{00000000-0002-0000-2300-000005000000}">
          <x14:formula1>
            <xm:f>Data!$A$2:$A$15</xm:f>
          </x14:formula1>
          <xm:sqref>B11 D45:F45</xm:sqref>
        </x14:dataValidation>
        <x14:dataValidation type="list" allowBlank="1" showInputMessage="1" showErrorMessage="1" xr:uid="{00000000-0002-0000-2300-000006000000}">
          <x14:formula1>
            <xm:f>Data!$B$2:$B$13</xm:f>
          </x14:formula1>
          <xm:sqref>C11 G45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5:AH73"/>
  <sheetViews>
    <sheetView showGridLines="0" showWhiteSpace="0" view="pageLayout" topLeftCell="A19" zoomScale="110" zoomScaleNormal="100" zoomScalePageLayoutView="110" workbookViewId="0">
      <selection activeCell="K23" sqref="K23"/>
    </sheetView>
  </sheetViews>
  <sheetFormatPr defaultColWidth="9" defaultRowHeight="12.75"/>
  <cols>
    <col min="1" max="1" width="1.625" customWidth="1"/>
    <col min="2" max="2" width="5.375" customWidth="1"/>
    <col min="3" max="3" width="7.125" customWidth="1"/>
    <col min="4" max="6" width="7.625" customWidth="1"/>
    <col min="7" max="7" width="10.125" customWidth="1"/>
    <col min="8" max="8" width="9.625" customWidth="1"/>
    <col min="9" max="9" width="8.125" customWidth="1"/>
    <col min="10" max="10" width="10.125" customWidth="1"/>
    <col min="11" max="11" width="7.875" customWidth="1"/>
    <col min="12" max="12" width="11" customWidth="1"/>
    <col min="13" max="13" width="11.375" customWidth="1"/>
    <col min="14" max="14" width="13.625" customWidth="1"/>
    <col min="15" max="15" width="16.875" customWidth="1"/>
    <col min="18" max="18" width="11.125" customWidth="1"/>
  </cols>
  <sheetData>
    <row r="5" spans="1:21" ht="25.5" customHeight="1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21" s="47" customFormat="1" ht="25.5" customHeight="1">
      <c r="A6" s="603"/>
      <c r="B6" s="603"/>
      <c r="C6" s="603"/>
      <c r="D6" s="603"/>
      <c r="E6" s="603"/>
      <c r="F6" s="603"/>
      <c r="G6" s="603"/>
      <c r="H6" s="603"/>
      <c r="I6" s="603"/>
      <c r="J6" s="603"/>
      <c r="K6" s="603"/>
      <c r="L6" s="603"/>
      <c r="M6" s="603"/>
      <c r="N6" s="603"/>
    </row>
    <row r="7" spans="1:21" ht="18.75" customHeight="1">
      <c r="C7" s="527" t="s">
        <v>3</v>
      </c>
      <c r="D7" s="527"/>
      <c r="E7" s="49"/>
      <c r="F7" s="49"/>
      <c r="G7" s="50" t="s">
        <v>449</v>
      </c>
      <c r="H7" s="51"/>
      <c r="K7" s="49" t="s">
        <v>174</v>
      </c>
      <c r="M7" s="599" t="str">
        <f>PAALAN!L7</f>
        <v>September  11-25, 2026</v>
      </c>
      <c r="N7" s="599"/>
      <c r="O7" s="599"/>
    </row>
    <row r="8" spans="1:21" ht="18.75" customHeight="1">
      <c r="C8" s="527" t="s">
        <v>175</v>
      </c>
      <c r="D8" s="527"/>
      <c r="E8" s="49"/>
      <c r="F8" s="49"/>
      <c r="G8" s="50" t="s">
        <v>349</v>
      </c>
      <c r="H8" s="51"/>
      <c r="K8" s="49" t="s">
        <v>176</v>
      </c>
      <c r="L8" s="92"/>
      <c r="M8" s="600" t="str">
        <f>PAALAN!L8</f>
        <v>9/31/2026</v>
      </c>
      <c r="N8" s="600"/>
      <c r="O8" s="600"/>
    </row>
    <row r="9" spans="1:21">
      <c r="C9" s="52"/>
      <c r="D9" s="53"/>
      <c r="E9" s="53"/>
      <c r="F9" s="53"/>
      <c r="G9" s="53"/>
    </row>
    <row r="10" spans="1:21">
      <c r="B10" s="54" t="s">
        <v>10</v>
      </c>
      <c r="C10" s="54" t="s">
        <v>11</v>
      </c>
      <c r="D10" s="54" t="s">
        <v>12</v>
      </c>
      <c r="E10" s="54"/>
      <c r="F10" s="54"/>
      <c r="G10" s="55" t="s">
        <v>13</v>
      </c>
    </row>
    <row r="11" spans="1:21">
      <c r="B11" s="56">
        <v>2026</v>
      </c>
      <c r="C11" s="56" t="s">
        <v>177</v>
      </c>
      <c r="D11" s="56">
        <v>11</v>
      </c>
      <c r="E11" s="56"/>
      <c r="F11" s="56"/>
      <c r="G11" s="56" t="s">
        <v>178</v>
      </c>
    </row>
    <row r="12" spans="1:21">
      <c r="B12" s="57"/>
      <c r="C12" s="57"/>
      <c r="H12" s="57"/>
      <c r="K12" s="57"/>
      <c r="L12" s="57"/>
      <c r="M12" s="57"/>
    </row>
    <row r="13" spans="1:21" ht="32.1" customHeight="1">
      <c r="B13" s="159" t="s">
        <v>16</v>
      </c>
      <c r="C13" s="159" t="s">
        <v>17</v>
      </c>
      <c r="D13" s="159" t="s">
        <v>18</v>
      </c>
      <c r="E13" s="160"/>
      <c r="F13" s="160"/>
      <c r="G13" s="160" t="s">
        <v>19</v>
      </c>
      <c r="H13" s="161" t="s">
        <v>179</v>
      </c>
      <c r="L13" s="93"/>
      <c r="M13" s="93"/>
      <c r="N13" s="94"/>
      <c r="O13" s="159" t="s">
        <v>16</v>
      </c>
      <c r="P13" s="159" t="s">
        <v>17</v>
      </c>
      <c r="Q13" s="159" t="s">
        <v>18</v>
      </c>
      <c r="R13" s="160"/>
      <c r="S13" s="160"/>
      <c r="T13" s="160" t="s">
        <v>19</v>
      </c>
      <c r="U13" s="161" t="s">
        <v>179</v>
      </c>
    </row>
    <row r="14" spans="1:21">
      <c r="B14" s="61">
        <v>0.33333333333333331</v>
      </c>
      <c r="C14" s="62">
        <v>10</v>
      </c>
      <c r="D14" s="63">
        <f>(17000/26)/8</f>
        <v>81.730769230769226</v>
      </c>
      <c r="E14" s="142"/>
      <c r="F14" s="142"/>
      <c r="G14" s="64">
        <f>(D14*25%)+D14</f>
        <v>102.16346153846153</v>
      </c>
      <c r="H14" s="65">
        <v>104</v>
      </c>
      <c r="I14" s="95"/>
      <c r="L14" s="57"/>
      <c r="M14" s="57"/>
      <c r="N14" s="95"/>
      <c r="O14" s="61">
        <v>0.375</v>
      </c>
      <c r="P14" s="62">
        <v>3</v>
      </c>
      <c r="Q14" s="63">
        <f>(14427.92/26)/8</f>
        <v>69.364999999999995</v>
      </c>
      <c r="R14" s="142"/>
      <c r="S14" s="142"/>
      <c r="T14" s="64">
        <f>(Q14*25%)+Q14</f>
        <v>86.706249999999997</v>
      </c>
      <c r="U14" s="65">
        <v>99</v>
      </c>
    </row>
    <row r="15" spans="1:21">
      <c r="H15" s="65"/>
      <c r="N15" s="96"/>
    </row>
    <row r="16" spans="1:21" ht="23.25">
      <c r="B16" s="66"/>
      <c r="C16" s="67" t="s">
        <v>20</v>
      </c>
      <c r="D16" s="67" t="s">
        <v>12</v>
      </c>
      <c r="E16" s="67"/>
      <c r="F16" s="67"/>
      <c r="G16" s="67" t="s">
        <v>21</v>
      </c>
      <c r="H16" s="67" t="s">
        <v>22</v>
      </c>
      <c r="I16" s="68" t="s">
        <v>23</v>
      </c>
      <c r="J16" s="68" t="s">
        <v>24</v>
      </c>
      <c r="K16" s="68" t="s">
        <v>25</v>
      </c>
      <c r="L16" s="67" t="s">
        <v>180</v>
      </c>
      <c r="M16" s="134" t="s">
        <v>181</v>
      </c>
      <c r="N16" s="67" t="s">
        <v>26</v>
      </c>
    </row>
    <row r="17" spans="2:34">
      <c r="B17" s="432">
        <v>1</v>
      </c>
      <c r="C17" s="429">
        <f>DATE($B$11,MATCH($C$11,Data!$B$2:$B$13,0),GALLARDO!$D$11)</f>
        <v>46276</v>
      </c>
      <c r="D17" s="430">
        <f>DATE($B$11,MATCH($C$11,Data!$B$2:$B$13,0),GALLARDO!$D$11)</f>
        <v>46276</v>
      </c>
      <c r="E17" s="424">
        <v>0.33333333333333331</v>
      </c>
      <c r="F17" s="424">
        <v>0</v>
      </c>
      <c r="G17" s="424">
        <f t="shared" ref="G17:G29" si="0">E17-F17</f>
        <v>0.33333333333333331</v>
      </c>
      <c r="H17" s="424">
        <v>0.75</v>
      </c>
      <c r="I17" s="425">
        <v>1</v>
      </c>
      <c r="J17" s="425">
        <f t="shared" ref="J17:J28" si="1">IFERROR(IF(AND(G17&lt;&gt;"",H17&lt;&gt;""),IF(G17&gt;$B$14+TIME($C$14,($C$14-INT($C$14))*60,0),0,IF(H17&gt;$B$14+TIME($C$14,($C$14-INT($C$14))*60,0),MIN(TIME($C$14,($C$14-INT($C$14))*60,0),($B$14+TIME($C$14,($C$14-INT($C$14))*60,0)-G17)),MIN(IF((H17-$B$14)&lt;0,0,(H17-$B$14)),(H17-G17))))*24,"")-I17,"")</f>
        <v>9</v>
      </c>
      <c r="K17" s="425">
        <f t="shared" ref="K17:K29" si="2">IF(AND(G17&lt;&gt;"",H17&lt;&gt;""),((IF(G17&lt;$B$14,MIN($B$14-G17,H17-G17),0)+IF(H17&gt;$B$14+TIME($C$14,($C$14-INT($C$14))*60,0),MIN((H17-$B$14-TIME($C$14,($C$14-INT($C$14))*60,0)),(H17-G17)),0))*24),"")</f>
        <v>0</v>
      </c>
      <c r="L17" s="426">
        <f>E17-B14</f>
        <v>0</v>
      </c>
      <c r="M17" s="423">
        <f>(D14/60)*0</f>
        <v>0</v>
      </c>
      <c r="N17" s="427">
        <f>IFERROR(J17*IF(AND(ISNUMBER(SEARCH(TEXT(C17,"ddd"),$G$11)),Data!$F$2),$G$14,$D$14)+K17*$G$14,"")</f>
        <v>735.57692307692309</v>
      </c>
      <c r="O17" s="141">
        <f t="shared" ref="O17:O30" si="3">M17+N17</f>
        <v>735.57692307692309</v>
      </c>
      <c r="P17" s="100"/>
      <c r="Q17" s="89"/>
    </row>
    <row r="18" spans="2:34">
      <c r="B18" s="432">
        <v>2</v>
      </c>
      <c r="C18" s="429">
        <f t="shared" ref="C18:D30" si="4">C17+1</f>
        <v>46277</v>
      </c>
      <c r="D18" s="430">
        <f t="shared" si="4"/>
        <v>46277</v>
      </c>
      <c r="E18" s="424">
        <v>0.375</v>
      </c>
      <c r="F18" s="424">
        <v>0</v>
      </c>
      <c r="G18" s="424">
        <f t="shared" si="0"/>
        <v>0.375</v>
      </c>
      <c r="H18" s="424">
        <v>0.5</v>
      </c>
      <c r="I18" s="425">
        <v>0</v>
      </c>
      <c r="J18" s="425">
        <f t="shared" si="1"/>
        <v>3</v>
      </c>
      <c r="K18" s="425">
        <f t="shared" si="2"/>
        <v>0</v>
      </c>
      <c r="L18" s="426">
        <f>E18-B14</f>
        <v>4.1666666666666685E-2</v>
      </c>
      <c r="M18" s="423">
        <f>(D14/60)*0</f>
        <v>0</v>
      </c>
      <c r="N18" s="427">
        <f>IFERROR(J18*IF(AND(ISNUMBER(SEARCH(TEXT(C18,"ddd"),$G$11)),Data!$F$2),$G$14,$D$14)+K18*$G$14,"")</f>
        <v>245.19230769230768</v>
      </c>
      <c r="O18" s="141">
        <f t="shared" si="3"/>
        <v>245.19230769230768</v>
      </c>
      <c r="P18" s="89"/>
      <c r="Q18" s="89"/>
    </row>
    <row r="19" spans="2:34">
      <c r="B19" s="432"/>
      <c r="C19" s="429">
        <f t="shared" si="4"/>
        <v>46278</v>
      </c>
      <c r="D19" s="430">
        <f t="shared" si="4"/>
        <v>46278</v>
      </c>
      <c r="E19" s="424">
        <v>0</v>
      </c>
      <c r="F19" s="424">
        <v>0</v>
      </c>
      <c r="G19" s="424">
        <f t="shared" si="0"/>
        <v>0</v>
      </c>
      <c r="H19" s="424">
        <v>0.75</v>
      </c>
      <c r="I19" s="425">
        <v>0</v>
      </c>
      <c r="J19" s="425">
        <f>IFERROR(IF(AND(G19&lt;&gt;"",H19&lt;&gt;""),IF(G19&gt;$B$14+TIME($C$14,($C$14-INT($C$14))*60,0),0,IF(H19&gt;$B$14+TIME($C$14,($C$14-INT($C$14))*60,0),MIN(TIME($C$14,($C$14-INT($C$14))*60,0),($B$14+TIME($C$14,($C$14-INT($C$14))*60,0)-G19)),MIN(IF((H19-$B$14)&lt;0,0,(H19-$B$14)),(H19-G19))))*24,"")-I19,"")</f>
        <v>10</v>
      </c>
      <c r="K19" s="425">
        <v>0</v>
      </c>
      <c r="L19" s="97">
        <v>0</v>
      </c>
      <c r="M19" s="98">
        <f>(D14/60)*0</f>
        <v>0</v>
      </c>
      <c r="N19" s="251">
        <f>IFERROR(J19*IF(AND(ISNUMBER(SEARCH(TEXT(C19,"ddd"),$G$11)),Data!$F$2),$G$14,$D$14)+K19*$G$14,"")</f>
        <v>1021.6346153846154</v>
      </c>
      <c r="O19" s="141">
        <f t="shared" si="3"/>
        <v>1021.6346153846154</v>
      </c>
      <c r="P19" s="100"/>
      <c r="Q19" s="104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</row>
    <row r="20" spans="2:34">
      <c r="B20" s="432">
        <v>3</v>
      </c>
      <c r="C20" s="429">
        <f t="shared" si="4"/>
        <v>46279</v>
      </c>
      <c r="D20" s="430">
        <f t="shared" si="4"/>
        <v>46279</v>
      </c>
      <c r="E20" s="424">
        <v>0.33333333333333331</v>
      </c>
      <c r="F20" s="424">
        <v>0</v>
      </c>
      <c r="G20" s="424">
        <f>E20-F20</f>
        <v>0.33333333333333331</v>
      </c>
      <c r="H20" s="424">
        <v>0.75</v>
      </c>
      <c r="I20" s="425">
        <v>1</v>
      </c>
      <c r="J20" s="425">
        <f t="shared" si="1"/>
        <v>9</v>
      </c>
      <c r="K20" s="425">
        <f t="shared" si="2"/>
        <v>0</v>
      </c>
      <c r="L20" s="426">
        <f>G20-B14</f>
        <v>0</v>
      </c>
      <c r="M20" s="423">
        <f>(D14/60)*0</f>
        <v>0</v>
      </c>
      <c r="N20" s="427">
        <f>IFERROR(J20*IF(AND(ISNUMBER(SEARCH(TEXT(C20,"ddd"),$G$11)),Data!$F$2),$G$14,$D$14)+K20*$G$14,"")</f>
        <v>735.57692307692309</v>
      </c>
      <c r="O20" s="141">
        <f t="shared" si="3"/>
        <v>735.57692307692309</v>
      </c>
      <c r="P20" s="103"/>
      <c r="Q20" s="103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28"/>
    </row>
    <row r="21" spans="2:34">
      <c r="B21" s="432">
        <v>4</v>
      </c>
      <c r="C21" s="429">
        <f t="shared" si="4"/>
        <v>46280</v>
      </c>
      <c r="D21" s="430">
        <f t="shared" si="4"/>
        <v>46280</v>
      </c>
      <c r="E21" s="424">
        <v>0.33333333333333331</v>
      </c>
      <c r="F21" s="424">
        <v>0</v>
      </c>
      <c r="G21" s="424">
        <f t="shared" ref="G21" si="5">E21-F21</f>
        <v>0.33333333333333331</v>
      </c>
      <c r="H21" s="424">
        <v>0.75</v>
      </c>
      <c r="I21" s="425">
        <v>1</v>
      </c>
      <c r="J21" s="425">
        <f>IFERROR(IF(AND(G21&lt;&gt;"",H21&lt;&gt;""),IF(G21&gt;$B$14+TIME($C$14,($C$14-INT($C$14))*60,0),0,IF(H21&gt;$B$14+TIME($C$14,($C$14-INT($C$14))*60,0),MIN(TIME($C$14,($C$14-INT($C$14))*60,0),($B$14+TIME($C$14,($C$14-INT($C$14))*60,0)-G21)),MIN(IF((H21-$B$14)&lt;0,0,(H21-$B$14)),(H21-G21))))*24,"")-I21,"")</f>
        <v>9</v>
      </c>
      <c r="K21" s="425">
        <f>IF(AND(G21&lt;&gt;"",H21&lt;&gt;""),((IF(G21&lt;$B$14,MIN($B$14-G21,H21-G21),0)+IF(H21&gt;$B$14+TIME($C$14,($C$14-INT($C$14))*60,0),MIN((H21-$B$14-TIME($C$14,($C$14-INT($C$14))*60,0)),(H21-G21)),0))*24),"")</f>
        <v>0</v>
      </c>
      <c r="L21" s="426">
        <v>0</v>
      </c>
      <c r="M21" s="423">
        <f>(D14/60)*0</f>
        <v>0</v>
      </c>
      <c r="N21" s="427">
        <f>IFERROR(J21*IF(AND(ISNUMBER(SEARCH(TEXT(C21,"ddd"),$G$11)),Data!$F$2),$G$14,$D$14)+K21*$G$14,"")</f>
        <v>735.57692307692309</v>
      </c>
      <c r="O21" s="141">
        <f t="shared" si="3"/>
        <v>735.57692307692309</v>
      </c>
      <c r="P21" s="162"/>
      <c r="Q21" s="108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4"/>
    </row>
    <row r="22" spans="2:34">
      <c r="B22" s="432">
        <v>5</v>
      </c>
      <c r="C22" s="429">
        <f t="shared" si="4"/>
        <v>46281</v>
      </c>
      <c r="D22" s="430">
        <f t="shared" si="4"/>
        <v>46281</v>
      </c>
      <c r="E22" s="424">
        <v>0</v>
      </c>
      <c r="F22" s="424">
        <v>0</v>
      </c>
      <c r="G22" s="424">
        <f t="shared" si="0"/>
        <v>0</v>
      </c>
      <c r="H22" s="424">
        <v>0</v>
      </c>
      <c r="I22" s="425">
        <v>0</v>
      </c>
      <c r="J22" s="425">
        <f t="shared" si="1"/>
        <v>0</v>
      </c>
      <c r="K22" s="425">
        <f>IF(AND(G22&lt;&gt;"",H22&lt;&gt;""),((IF(G22&lt;$B$14,MIN($B$14-G22,H22-G22),0)+IF(H22&gt;$B$14+TIME($C$14,($C$14-INT($C$14))*60,0),MIN((H22-$B$14-TIME($C$14,($C$14-INT($C$14))*60,0)),(H22-G22)),0))*24),"")</f>
        <v>0</v>
      </c>
      <c r="L22" s="426">
        <v>0</v>
      </c>
      <c r="M22" s="423">
        <f>(D14/60)*0</f>
        <v>0</v>
      </c>
      <c r="N22" s="427">
        <f>IFERROR(J22*IF(AND(ISNUMBER(SEARCH(TEXT(C22,"ddd"),$G$11)),Data!$F$2),$G$14,$D$14)+K22*$G$14,"")</f>
        <v>0</v>
      </c>
      <c r="O22" s="141">
        <f t="shared" si="3"/>
        <v>0</v>
      </c>
      <c r="P22" s="163">
        <f>O21-O22</f>
        <v>735.57692307692309</v>
      </c>
      <c r="Q22" s="135"/>
      <c r="R22" s="96">
        <v>0.40486111111111101</v>
      </c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4"/>
    </row>
    <row r="23" spans="2:34">
      <c r="B23" s="432">
        <v>6</v>
      </c>
      <c r="C23" s="429">
        <f t="shared" si="4"/>
        <v>46282</v>
      </c>
      <c r="D23" s="430">
        <f t="shared" si="4"/>
        <v>46282</v>
      </c>
      <c r="E23" s="424">
        <v>0.33333333333333331</v>
      </c>
      <c r="F23" s="424">
        <v>0</v>
      </c>
      <c r="G23" s="424">
        <f t="shared" si="0"/>
        <v>0.33333333333333331</v>
      </c>
      <c r="H23" s="424">
        <v>0.75</v>
      </c>
      <c r="I23" s="425">
        <v>1</v>
      </c>
      <c r="J23" s="425">
        <f t="shared" si="1"/>
        <v>9</v>
      </c>
      <c r="K23" s="425">
        <f t="shared" ref="K23" si="6">IF(AND(G23&lt;&gt;"",H23&lt;&gt;""),((IF(G23&lt;$B$14,MIN($B$14-G23,H23-G23),0)+IF(H23&gt;$B$14+TIME($C$14,($C$14-INT($C$14))*60,0),MIN((H23-$B$14-TIME($C$14,($C$14-INT($C$14))*60,0)),(H23-G23)),0))*24),"")</f>
        <v>0</v>
      </c>
      <c r="L23" s="426">
        <f>E23-B14</f>
        <v>0</v>
      </c>
      <c r="M23" s="423">
        <f>(D14/60)*0</f>
        <v>0</v>
      </c>
      <c r="N23" s="427">
        <f>IFERROR(J23*IF(AND(ISNUMBER(SEARCH(TEXT(C23,"ddd"),$G$11)),Data!$F$2),$G$14,$D$14)+K23*$G$14,"")</f>
        <v>735.57692307692309</v>
      </c>
      <c r="O23" s="141">
        <f t="shared" si="3"/>
        <v>735.57692307692309</v>
      </c>
      <c r="P23" s="150"/>
      <c r="Q23" s="89"/>
      <c r="R23" s="96">
        <v>1.0416666666666701E-2</v>
      </c>
    </row>
    <row r="24" spans="2:34">
      <c r="B24" s="432">
        <v>7</v>
      </c>
      <c r="C24" s="429">
        <f t="shared" si="4"/>
        <v>46283</v>
      </c>
      <c r="D24" s="430">
        <f t="shared" si="4"/>
        <v>46283</v>
      </c>
      <c r="E24" s="424">
        <v>0.33333333333333331</v>
      </c>
      <c r="F24" s="424">
        <v>0</v>
      </c>
      <c r="G24" s="424">
        <f t="shared" si="0"/>
        <v>0.33333333333333331</v>
      </c>
      <c r="H24" s="424">
        <v>0.75</v>
      </c>
      <c r="I24" s="425">
        <v>1</v>
      </c>
      <c r="J24" s="425">
        <f t="shared" si="1"/>
        <v>9</v>
      </c>
      <c r="K24" s="425">
        <f t="shared" si="2"/>
        <v>0</v>
      </c>
      <c r="L24" s="426">
        <f>E24-B14</f>
        <v>0</v>
      </c>
      <c r="M24" s="423">
        <f>(D14/60)*0</f>
        <v>0</v>
      </c>
      <c r="N24" s="427">
        <f>IFERROR(J24*IF(AND(ISNUMBER(SEARCH(TEXT(C24,"ddd"),$G$11)),Data!$F$2),$G$14,$D$14)+K24*$G$14,"")</f>
        <v>735.57692307692309</v>
      </c>
      <c r="O24" s="141">
        <f t="shared" si="3"/>
        <v>735.57692307692309</v>
      </c>
      <c r="P24" s="155"/>
      <c r="Q24" s="89"/>
      <c r="R24" s="129">
        <f>R22-R23</f>
        <v>0.39444444444444432</v>
      </c>
    </row>
    <row r="25" spans="2:34">
      <c r="B25" s="432">
        <v>8</v>
      </c>
      <c r="C25" s="429">
        <f t="shared" si="4"/>
        <v>46284</v>
      </c>
      <c r="D25" s="430">
        <f t="shared" si="4"/>
        <v>46284</v>
      </c>
      <c r="E25" s="424">
        <v>0.375</v>
      </c>
      <c r="F25" s="424">
        <v>0</v>
      </c>
      <c r="G25" s="424">
        <f t="shared" si="0"/>
        <v>0.375</v>
      </c>
      <c r="H25" s="424">
        <v>0.5</v>
      </c>
      <c r="I25" s="425">
        <v>0</v>
      </c>
      <c r="J25" s="425">
        <f t="shared" si="1"/>
        <v>3</v>
      </c>
      <c r="K25" s="425">
        <f t="shared" si="2"/>
        <v>0</v>
      </c>
      <c r="L25" s="426">
        <f>E25-B14</f>
        <v>4.1666666666666685E-2</v>
      </c>
      <c r="M25" s="423">
        <v>0</v>
      </c>
      <c r="N25" s="427">
        <f>IFERROR(J25*IF(AND(ISNUMBER(SEARCH(TEXT(C25,"ddd"),$G$11)),Data!$F$2),$G$14,$D$14)+K25*$G$14,"")</f>
        <v>245.19230769230768</v>
      </c>
      <c r="O25" s="141">
        <f t="shared" si="3"/>
        <v>245.19230769230768</v>
      </c>
      <c r="P25" s="89"/>
      <c r="Q25" s="89"/>
    </row>
    <row r="26" spans="2:34">
      <c r="B26" s="432"/>
      <c r="C26" s="429">
        <f t="shared" si="4"/>
        <v>46285</v>
      </c>
      <c r="D26" s="430">
        <f t="shared" si="4"/>
        <v>46285</v>
      </c>
      <c r="E26" s="424">
        <v>0</v>
      </c>
      <c r="F26" s="424">
        <v>0</v>
      </c>
      <c r="G26" s="424">
        <f t="shared" si="0"/>
        <v>0</v>
      </c>
      <c r="H26" s="424">
        <v>0</v>
      </c>
      <c r="I26" s="425">
        <v>0</v>
      </c>
      <c r="J26" s="425">
        <f t="shared" si="1"/>
        <v>0</v>
      </c>
      <c r="K26" s="425">
        <f t="shared" si="2"/>
        <v>0</v>
      </c>
      <c r="L26" s="97">
        <v>0</v>
      </c>
      <c r="M26" s="98">
        <f>(D14/60)*0</f>
        <v>0</v>
      </c>
      <c r="N26" s="251">
        <f>IFERROR(J26*IF(AND(ISNUMBER(SEARCH(TEXT(C26,"ddd"),$G$11)),Data!$F$2),$G$14,$D$14)+K26*$G$14,"")</f>
        <v>0</v>
      </c>
      <c r="O26" s="141">
        <f t="shared" si="3"/>
        <v>0</v>
      </c>
      <c r="P26" s="89"/>
      <c r="Q26" s="89"/>
    </row>
    <row r="27" spans="2:34">
      <c r="B27" s="432">
        <v>9</v>
      </c>
      <c r="C27" s="429">
        <f t="shared" si="4"/>
        <v>46286</v>
      </c>
      <c r="D27" s="430">
        <f t="shared" si="4"/>
        <v>46286</v>
      </c>
      <c r="E27" s="424">
        <v>0.34375</v>
      </c>
      <c r="F27" s="424">
        <v>0</v>
      </c>
      <c r="G27" s="424">
        <f t="shared" si="0"/>
        <v>0.34375</v>
      </c>
      <c r="H27" s="424">
        <v>0.75</v>
      </c>
      <c r="I27" s="425">
        <v>1</v>
      </c>
      <c r="J27" s="425">
        <f t="shared" si="1"/>
        <v>8.75</v>
      </c>
      <c r="K27" s="425">
        <f t="shared" si="2"/>
        <v>0</v>
      </c>
      <c r="L27" s="426">
        <f>E27-B14</f>
        <v>1.0416666666666685E-2</v>
      </c>
      <c r="M27" s="423">
        <f>(D14/60)*0</f>
        <v>0</v>
      </c>
      <c r="N27" s="427">
        <f>IFERROR(J27*IF(AND(ISNUMBER(SEARCH(TEXT(C27,"ddd"),$G$11)),Data!$F$2),$G$14,$D$14)+K27*$G$14,"")</f>
        <v>715.14423076923072</v>
      </c>
      <c r="O27" s="141">
        <f t="shared" si="3"/>
        <v>715.14423076923072</v>
      </c>
      <c r="P27" s="127"/>
      <c r="Q27" s="89"/>
    </row>
    <row r="28" spans="2:34">
      <c r="B28" s="432">
        <v>10</v>
      </c>
      <c r="C28" s="429">
        <f t="shared" si="4"/>
        <v>46287</v>
      </c>
      <c r="D28" s="430">
        <f t="shared" si="4"/>
        <v>46287</v>
      </c>
      <c r="E28" s="424">
        <v>0.54166666666666663</v>
      </c>
      <c r="F28" s="424">
        <v>0</v>
      </c>
      <c r="G28" s="424">
        <f t="shared" si="0"/>
        <v>0.54166666666666663</v>
      </c>
      <c r="H28" s="424">
        <v>0.75</v>
      </c>
      <c r="I28" s="425">
        <v>1</v>
      </c>
      <c r="J28" s="425">
        <f t="shared" si="1"/>
        <v>4.0000000000000009</v>
      </c>
      <c r="K28" s="425">
        <f t="shared" si="2"/>
        <v>0</v>
      </c>
      <c r="L28" s="426">
        <f>E28-B14</f>
        <v>0.20833333333333331</v>
      </c>
      <c r="M28" s="423">
        <f>(D14/60)*0</f>
        <v>0</v>
      </c>
      <c r="N28" s="427">
        <f>IFERROR(J28*IF(AND(ISNUMBER(SEARCH(TEXT(C28,"ddd"),$G$11)),Data!$F$2),$G$14,$D$14)+K28*$G$14,"")</f>
        <v>326.92307692307696</v>
      </c>
      <c r="O28" s="141">
        <f t="shared" si="3"/>
        <v>326.92307692307696</v>
      </c>
      <c r="Q28" s="89"/>
    </row>
    <row r="29" spans="2:34">
      <c r="B29" s="432">
        <v>11</v>
      </c>
      <c r="C29" s="429">
        <f t="shared" si="4"/>
        <v>46288</v>
      </c>
      <c r="D29" s="430">
        <f t="shared" si="4"/>
        <v>46288</v>
      </c>
      <c r="E29" s="424">
        <v>0.33333333333333331</v>
      </c>
      <c r="F29" s="424">
        <v>0</v>
      </c>
      <c r="G29" s="424">
        <f t="shared" si="0"/>
        <v>0.33333333333333331</v>
      </c>
      <c r="H29" s="424">
        <v>0.75</v>
      </c>
      <c r="I29" s="425">
        <v>1</v>
      </c>
      <c r="J29" s="425">
        <f>IFERROR(IF(AND(G29&lt;&gt;"",H29&lt;&gt;""),IF(G29&gt;$B$14+TIME($C$14,($C$14-INT($C$14))*60,0),0,IF(H29&gt;$B$14+TIME($C$14,($C$14-INT($C$14))*60,0),MIN(TIME($C$14,($C$14-INT($C$14))*60,0),($B$14+TIME($C$14,($C$14-INT($C$14))*60,0)-G29)),MIN(IF((H29-$B$14)&lt;0,0,(H29-$B$14)),(H29-G29))))*24,"")-I29,"")</f>
        <v>9</v>
      </c>
      <c r="K29" s="425">
        <f t="shared" si="2"/>
        <v>0</v>
      </c>
      <c r="L29" s="426">
        <v>0</v>
      </c>
      <c r="M29" s="423">
        <f>(D14/60)*0</f>
        <v>0</v>
      </c>
      <c r="N29" s="427">
        <f>IFERROR(J29*IF(AND(ISNUMBER(SEARCH(TEXT(C29,"ddd"),$G$11)),Data!$F$2),$G$14,$D$14)+K29*$G$14,"")</f>
        <v>735.57692307692309</v>
      </c>
      <c r="O29" s="141">
        <f>M29+N29</f>
        <v>735.57692307692309</v>
      </c>
      <c r="P29" s="95">
        <f>O28-O29</f>
        <v>-408.65384615384613</v>
      </c>
      <c r="Q29" s="89"/>
    </row>
    <row r="30" spans="2:34">
      <c r="B30" s="432">
        <v>12</v>
      </c>
      <c r="C30" s="429">
        <f t="shared" si="4"/>
        <v>46289</v>
      </c>
      <c r="D30" s="430">
        <f t="shared" si="4"/>
        <v>46289</v>
      </c>
      <c r="E30" s="424">
        <v>0.33333333333333331</v>
      </c>
      <c r="F30" s="424">
        <v>0</v>
      </c>
      <c r="G30" s="424">
        <f>E30-F30</f>
        <v>0.33333333333333331</v>
      </c>
      <c r="H30" s="424">
        <v>0.75</v>
      </c>
      <c r="I30" s="425">
        <v>1</v>
      </c>
      <c r="J30" s="425">
        <f t="shared" ref="J30:J31" si="7">IFERROR(IF(AND(G30&lt;&gt;"",H30&lt;&gt;""),IF(G30&gt;$B$14+TIME($C$14,($C$14-INT($C$14))*60,0),0,IF(H30&gt;$B$14+TIME($C$14,($C$14-INT($C$14))*60,0),MIN(TIME($C$14,($C$14-INT($C$14))*60,0),($B$14+TIME($C$14,($C$14-INT($C$14))*60,0)-G30)),MIN(IF((H30-$B$14)&lt;0,0,(H30-$B$14)),(H30-G30))))*24,"")-I30,"")</f>
        <v>9</v>
      </c>
      <c r="K30" s="425">
        <v>0</v>
      </c>
      <c r="L30" s="426">
        <f>G30-B14</f>
        <v>0</v>
      </c>
      <c r="M30" s="423">
        <f>(D14/60)*0</f>
        <v>0</v>
      </c>
      <c r="N30" s="427">
        <f>IFERROR(J30*IF(AND(ISNUMBER(SEARCH(TEXT(C30,"ddd"),$G$11)),Data!$F$2),$G$14,$D$14)+K30*$G$14,"")</f>
        <v>735.57692307692309</v>
      </c>
      <c r="O30" s="141">
        <f t="shared" si="3"/>
        <v>735.57692307692309</v>
      </c>
      <c r="P30" s="127"/>
      <c r="Q30" s="89"/>
    </row>
    <row r="31" spans="2:34">
      <c r="B31" s="432">
        <v>13</v>
      </c>
      <c r="C31" s="429">
        <f>C30+1</f>
        <v>46290</v>
      </c>
      <c r="D31" s="430">
        <f>D30+1</f>
        <v>46290</v>
      </c>
      <c r="E31" s="424">
        <v>0</v>
      </c>
      <c r="F31" s="424">
        <v>0</v>
      </c>
      <c r="G31" s="424">
        <f>E31-F31</f>
        <v>0</v>
      </c>
      <c r="H31" s="424">
        <v>0</v>
      </c>
      <c r="I31" s="425">
        <v>0</v>
      </c>
      <c r="J31" s="425">
        <f t="shared" si="7"/>
        <v>0</v>
      </c>
      <c r="K31" s="425">
        <v>0</v>
      </c>
      <c r="L31" s="426">
        <v>0</v>
      </c>
      <c r="M31" s="423">
        <f>(D14/60)*0</f>
        <v>0</v>
      </c>
      <c r="N31" s="427">
        <f>IFERROR(J31*IF(AND(ISNUMBER(SEARCH(TEXT(C31,"ddd"),$G$11)),Data!$F$2),$G$14,$D$14)+K31*$G$14,"")</f>
        <v>0</v>
      </c>
      <c r="O31" s="141">
        <f>M31+N31</f>
        <v>0</v>
      </c>
      <c r="P31" s="95">
        <f>O28-O31</f>
        <v>326.92307692307696</v>
      </c>
    </row>
    <row r="32" spans="2:34">
      <c r="B32" s="441"/>
      <c r="C32" s="442"/>
      <c r="D32" s="443"/>
      <c r="E32" s="444"/>
      <c r="F32" s="444"/>
      <c r="G32" s="593" t="s">
        <v>182</v>
      </c>
      <c r="H32" s="594"/>
      <c r="I32" s="445">
        <f>SUM(I17:I31)</f>
        <v>9</v>
      </c>
      <c r="J32" s="445">
        <f>SUM(J17:J31)</f>
        <v>91.75</v>
      </c>
      <c r="K32" s="445">
        <f>SUM(K17:K31)</f>
        <v>0</v>
      </c>
      <c r="L32" s="446">
        <f>SUM(L17:L31)</f>
        <v>0.30208333333333337</v>
      </c>
      <c r="M32" s="447">
        <f>SUM(M17:M31)</f>
        <v>0</v>
      </c>
      <c r="N32" s="441"/>
      <c r="O32" s="165">
        <f>SUM(O17:O31)</f>
        <v>7703.1249999999991</v>
      </c>
      <c r="P32" s="165">
        <f>SUM(P17:P31)</f>
        <v>653.84615384615392</v>
      </c>
      <c r="Q32" s="95">
        <f>O32+P32</f>
        <v>8356.9711538461524</v>
      </c>
    </row>
    <row r="33" spans="2:17">
      <c r="B33" s="66"/>
      <c r="C33" s="76"/>
      <c r="D33" s="77"/>
      <c r="E33" s="144"/>
      <c r="F33" s="144"/>
      <c r="G33" s="81" t="s">
        <v>39</v>
      </c>
      <c r="H33" s="82"/>
      <c r="I33" s="83"/>
      <c r="J33" s="84"/>
      <c r="K33" s="116"/>
      <c r="L33" s="330">
        <f>(D14/60)*0</f>
        <v>0</v>
      </c>
      <c r="M33" s="118"/>
      <c r="N33" s="166">
        <f>(D14*H14)-N54</f>
        <v>8500</v>
      </c>
      <c r="O33" s="95"/>
      <c r="P33" s="95"/>
      <c r="Q33" s="95"/>
    </row>
    <row r="34" spans="2:17">
      <c r="B34" s="65"/>
      <c r="C34" s="65"/>
      <c r="D34" s="85"/>
      <c r="E34" s="85"/>
      <c r="F34" s="85"/>
      <c r="G34" s="592" t="s">
        <v>183</v>
      </c>
      <c r="H34" s="592"/>
      <c r="I34" s="80"/>
      <c r="J34" s="80">
        <f>H14-J32</f>
        <v>12.25</v>
      </c>
      <c r="K34" s="65"/>
      <c r="L34" s="120"/>
      <c r="M34" s="65"/>
      <c r="N34" s="121">
        <f>M32</f>
        <v>0</v>
      </c>
      <c r="O34" s="151">
        <f>O32-O33</f>
        <v>7703.1249999999991</v>
      </c>
      <c r="P34" s="95"/>
      <c r="Q34" s="95"/>
    </row>
    <row r="35" spans="2:17">
      <c r="B35" s="65"/>
      <c r="C35" s="65"/>
      <c r="D35" s="85"/>
      <c r="E35" s="145"/>
      <c r="F35" s="145"/>
      <c r="G35" s="78" t="s">
        <v>41</v>
      </c>
      <c r="H35" s="79"/>
      <c r="I35" s="66"/>
      <c r="J35" s="66"/>
      <c r="K35" s="80"/>
      <c r="L35" s="80"/>
      <c r="M35" s="80"/>
      <c r="N35" s="121">
        <f>N33-N34</f>
        <v>8500</v>
      </c>
      <c r="O35" s="95"/>
      <c r="P35" s="95"/>
      <c r="Q35" s="95"/>
    </row>
    <row r="36" spans="2:17">
      <c r="B36" s="65"/>
      <c r="C36" s="65"/>
      <c r="D36" s="85"/>
      <c r="E36" s="146"/>
      <c r="F36" s="146"/>
      <c r="G36" s="604" t="s">
        <v>184</v>
      </c>
      <c r="H36" s="605"/>
      <c r="I36" s="80"/>
      <c r="J36" s="66"/>
      <c r="K36" s="122"/>
      <c r="L36" s="122"/>
      <c r="M36" s="122"/>
      <c r="N36" s="123">
        <f>(K32*G14)</f>
        <v>0</v>
      </c>
      <c r="O36" s="95"/>
    </row>
    <row r="37" spans="2:17">
      <c r="B37" s="65"/>
      <c r="C37" s="65"/>
      <c r="D37" s="85"/>
      <c r="E37" s="146"/>
      <c r="F37" s="146"/>
      <c r="G37" s="86" t="s">
        <v>185</v>
      </c>
      <c r="H37" s="87"/>
      <c r="I37" s="80"/>
      <c r="J37" s="66"/>
      <c r="K37" s="122"/>
      <c r="L37" s="122"/>
      <c r="M37" s="122"/>
      <c r="N37" s="123">
        <v>0</v>
      </c>
      <c r="O37" s="95"/>
    </row>
    <row r="38" spans="2:17">
      <c r="B38" s="65"/>
      <c r="C38" s="65"/>
      <c r="D38" s="85"/>
      <c r="E38" s="145"/>
      <c r="F38" s="145"/>
      <c r="G38" s="597" t="s">
        <v>186</v>
      </c>
      <c r="H38" s="598"/>
      <c r="I38" s="66"/>
      <c r="J38" s="66"/>
      <c r="K38" s="66"/>
      <c r="L38" s="66"/>
      <c r="M38" s="66"/>
      <c r="N38" s="124">
        <f>N35+N36+N37</f>
        <v>8500</v>
      </c>
      <c r="O38" s="95"/>
    </row>
    <row r="39" spans="2:17">
      <c r="D39" s="88"/>
      <c r="E39" s="88"/>
      <c r="F39" s="88"/>
      <c r="G39" s="589"/>
      <c r="H39" s="589"/>
      <c r="I39" s="90"/>
      <c r="J39" s="90"/>
      <c r="K39" s="125"/>
      <c r="L39" s="125"/>
      <c r="M39" s="125"/>
      <c r="N39" s="126"/>
      <c r="O39" s="127"/>
    </row>
    <row r="40" spans="2:17">
      <c r="D40" s="88"/>
      <c r="E40" s="88"/>
      <c r="F40" s="88"/>
      <c r="G40" s="89"/>
      <c r="H40" s="89"/>
      <c r="I40" s="90"/>
      <c r="J40" s="90"/>
      <c r="K40" s="125"/>
      <c r="L40" s="125"/>
      <c r="M40" s="125"/>
      <c r="N40" s="126"/>
      <c r="O40" s="127"/>
    </row>
    <row r="41" spans="2:17" ht="12" customHeight="1">
      <c r="D41" s="91"/>
      <c r="E41" s="91"/>
      <c r="F41" s="91"/>
      <c r="M41" t="s">
        <v>196</v>
      </c>
    </row>
    <row r="42" spans="2:17">
      <c r="B42" s="590" t="s">
        <v>187</v>
      </c>
      <c r="C42" s="590"/>
      <c r="D42" s="590"/>
      <c r="E42" s="590"/>
      <c r="F42" s="590"/>
      <c r="G42" s="590"/>
      <c r="H42" s="590"/>
      <c r="I42" s="590"/>
      <c r="J42" s="590"/>
      <c r="K42" s="590"/>
      <c r="L42" s="590"/>
      <c r="M42" s="590"/>
      <c r="N42" s="590"/>
    </row>
    <row r="43" spans="2:17">
      <c r="D43" s="91"/>
      <c r="E43" s="91"/>
      <c r="F43" s="91"/>
    </row>
    <row r="44" spans="2:17">
      <c r="D44" s="91" t="s">
        <v>188</v>
      </c>
      <c r="E44" s="91"/>
      <c r="F44" s="91"/>
      <c r="N44" s="95"/>
    </row>
    <row r="45" spans="2:17">
      <c r="D45" s="54" t="s">
        <v>10</v>
      </c>
      <c r="E45" s="54"/>
      <c r="F45" s="54"/>
      <c r="G45" s="54" t="s">
        <v>11</v>
      </c>
      <c r="H45" s="54" t="s">
        <v>12</v>
      </c>
      <c r="I45" s="55" t="s">
        <v>13</v>
      </c>
    </row>
    <row r="46" spans="2:17">
      <c r="D46" s="56">
        <v>2026</v>
      </c>
      <c r="E46" s="56"/>
      <c r="F46" s="56"/>
      <c r="G46" s="56" t="s">
        <v>204</v>
      </c>
      <c r="H46" s="56">
        <v>12</v>
      </c>
      <c r="I46" s="56" t="s">
        <v>15</v>
      </c>
    </row>
    <row r="47" spans="2:17">
      <c r="D47" s="57"/>
      <c r="E47" s="57"/>
      <c r="F47" s="57"/>
      <c r="G47" s="57"/>
    </row>
    <row r="48" spans="2:17" ht="33.75">
      <c r="D48" s="159" t="s">
        <v>16</v>
      </c>
      <c r="E48" s="159"/>
      <c r="F48" s="159"/>
      <c r="G48" s="159" t="s">
        <v>17</v>
      </c>
      <c r="H48" s="159" t="s">
        <v>18</v>
      </c>
      <c r="I48" s="159" t="s">
        <v>19</v>
      </c>
    </row>
    <row r="49" spans="3:14">
      <c r="D49" s="61">
        <v>0.33333333333333298</v>
      </c>
      <c r="E49" s="61"/>
      <c r="F49" s="61"/>
      <c r="G49" s="62">
        <v>10</v>
      </c>
      <c r="H49" s="63">
        <f>D14</f>
        <v>81.730769230769226</v>
      </c>
      <c r="I49" s="130">
        <f>(H49*30%)+H49</f>
        <v>106.25</v>
      </c>
    </row>
    <row r="51" spans="3:14">
      <c r="C51" s="131" t="s">
        <v>20</v>
      </c>
      <c r="D51" s="131" t="s">
        <v>12</v>
      </c>
      <c r="E51" s="131"/>
      <c r="F51" s="131"/>
      <c r="G51" s="131" t="s">
        <v>21</v>
      </c>
      <c r="H51" s="131" t="s">
        <v>22</v>
      </c>
      <c r="I51" s="131" t="s">
        <v>23</v>
      </c>
      <c r="J51" s="131" t="s">
        <v>24</v>
      </c>
      <c r="K51" s="131" t="s">
        <v>25</v>
      </c>
      <c r="L51" s="131"/>
      <c r="M51" s="131"/>
      <c r="N51" s="131" t="s">
        <v>26</v>
      </c>
    </row>
    <row r="52" spans="3:14">
      <c r="C52" s="70" t="s">
        <v>353</v>
      </c>
      <c r="D52" s="71">
        <f>DATE($B$11,MATCH($G$46,Data!$B$2:$B$13,0),GALLARDO!$H$46)</f>
        <v>46185</v>
      </c>
      <c r="E52" s="71"/>
      <c r="F52" s="71"/>
      <c r="G52" s="72">
        <v>0</v>
      </c>
      <c r="H52" s="72">
        <v>0</v>
      </c>
      <c r="I52" s="73">
        <v>0</v>
      </c>
      <c r="J52" s="73">
        <f>IFERROR(IF(AND(G52&lt;&gt;"",H52&lt;&gt;""),IF(G52&gt;$B$14+TIME($C$14,($C$14-INT($C$14))*60,0),0,IF(H52&gt;$B$14+TIME($C$14,($C$14-INT($C$14))*60,0),MIN(TIME($C$14,($C$14-INT($C$14))*60,0),($B$14+TIME($C$14,($C$14-INT($C$14))*60,0)-G52)),MIN(IF((H52-$B$14)&lt;0,0,(H52-$B$14)),(H52-G52))))*24,"")-I52,"")</f>
        <v>0</v>
      </c>
      <c r="K52" s="73">
        <f>IF(AND(G52&lt;&gt;"",H52&lt;&gt;""),((IF(G52&lt;$D$49,MIN($D$49-G52,H52-G52),0)+IF(H52&gt;$D$49+TIME($G$49,($G$49-INT($G$49))*60,0),MIN((H52-$D$49-TIME($G$49,($G$49-INT($G$49))*60,0)),(H52-G52)),0))*24),"")</f>
        <v>0</v>
      </c>
      <c r="L52" s="73"/>
      <c r="M52" s="73"/>
      <c r="N52" s="99">
        <f>J52*H49</f>
        <v>0</v>
      </c>
    </row>
    <row r="53" spans="3:14">
      <c r="C53" s="70"/>
      <c r="D53" s="71"/>
      <c r="E53" s="71"/>
      <c r="F53" s="71"/>
      <c r="G53" s="72"/>
      <c r="H53" s="72"/>
      <c r="I53" s="73"/>
      <c r="J53" s="73"/>
      <c r="K53" s="73"/>
      <c r="L53" s="73"/>
      <c r="M53" s="73"/>
      <c r="N53" s="99"/>
    </row>
    <row r="54" spans="3:14"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318">
        <f>SUM(N52:N53)</f>
        <v>0</v>
      </c>
    </row>
    <row r="55" spans="3:14">
      <c r="N55" s="324"/>
    </row>
    <row r="56" spans="3:14">
      <c r="N56" s="138"/>
    </row>
    <row r="57" spans="3:14">
      <c r="N57" s="138"/>
    </row>
    <row r="58" spans="3:14">
      <c r="N58" s="138"/>
    </row>
    <row r="59" spans="3:14">
      <c r="C59" s="132" t="s">
        <v>190</v>
      </c>
      <c r="D59" s="132"/>
      <c r="N59" s="138"/>
    </row>
    <row r="60" spans="3:14">
      <c r="N60" s="138"/>
    </row>
    <row r="61" spans="3:14">
      <c r="C61" s="591">
        <v>44981</v>
      </c>
      <c r="D61" s="591"/>
      <c r="E61" s="591"/>
      <c r="F61" s="88">
        <v>735.58</v>
      </c>
      <c r="G61" s="148" t="s">
        <v>280</v>
      </c>
      <c r="H61" s="254"/>
      <c r="N61" s="138"/>
    </row>
    <row r="62" spans="3:14">
      <c r="D62" s="88"/>
      <c r="E62" s="88"/>
      <c r="F62" s="256">
        <f>F61*G62</f>
        <v>220.67400000000001</v>
      </c>
      <c r="G62" s="253">
        <v>0.3</v>
      </c>
      <c r="H62" s="254"/>
      <c r="N62" s="138"/>
    </row>
    <row r="63" spans="3:14">
      <c r="D63" s="91"/>
      <c r="E63" s="91"/>
      <c r="F63" s="91"/>
      <c r="N63" s="138"/>
    </row>
    <row r="64" spans="3:14">
      <c r="D64" s="91"/>
      <c r="E64" s="91"/>
      <c r="F64" s="91"/>
      <c r="G64" s="257">
        <f>F62</f>
        <v>220.67400000000001</v>
      </c>
      <c r="N64" s="138"/>
    </row>
    <row r="65" spans="3:9">
      <c r="D65" s="132"/>
      <c r="E65" s="132"/>
      <c r="F65" s="132"/>
      <c r="G65" s="133"/>
      <c r="H65" s="133"/>
      <c r="I65" s="133"/>
    </row>
    <row r="66" spans="3:9">
      <c r="D66" s="132"/>
      <c r="E66" s="132"/>
      <c r="F66" s="132"/>
      <c r="G66" s="133"/>
      <c r="H66" s="133"/>
      <c r="I66" s="133"/>
    </row>
    <row r="67" spans="3:9">
      <c r="F67" s="132"/>
      <c r="G67" s="133"/>
      <c r="H67" s="133"/>
      <c r="I67" s="133"/>
    </row>
    <row r="68" spans="3:9">
      <c r="G68" s="606"/>
      <c r="H68" s="606"/>
    </row>
    <row r="71" spans="3:9">
      <c r="C71" s="91" t="s">
        <v>141</v>
      </c>
    </row>
    <row r="72" spans="3:9">
      <c r="C72" t="s">
        <v>66</v>
      </c>
    </row>
    <row r="73" spans="3:9">
      <c r="C73" s="91"/>
    </row>
  </sheetData>
  <mergeCells count="13">
    <mergeCell ref="G68:H68"/>
    <mergeCell ref="G34:H34"/>
    <mergeCell ref="G36:H36"/>
    <mergeCell ref="G38:H38"/>
    <mergeCell ref="G39:H39"/>
    <mergeCell ref="B42:N42"/>
    <mergeCell ref="C61:E61"/>
    <mergeCell ref="G32:H32"/>
    <mergeCell ref="A6:N6"/>
    <mergeCell ref="C7:D7"/>
    <mergeCell ref="M7:O7"/>
    <mergeCell ref="C8:D8"/>
    <mergeCell ref="M8:O8"/>
  </mergeCells>
  <conditionalFormatting sqref="C17:D17">
    <cfRule type="expression" dxfId="156" priority="105">
      <formula>ISNUMBER(SEARCH(TEXT($B17,"ddd"),$F$10))</formula>
    </cfRule>
  </conditionalFormatting>
  <conditionalFormatting sqref="C18:D31">
    <cfRule type="expression" dxfId="155" priority="107">
      <formula>ISNUMBER(SEARCH(TEXT($C18,"ddd"),$G$11))</formula>
    </cfRule>
  </conditionalFormatting>
  <conditionalFormatting sqref="C52:N53">
    <cfRule type="expression" dxfId="154" priority="16">
      <formula>ISNUMBER(SEARCH(TEXT($C52,"ddd"),$G$11))</formula>
    </cfRule>
  </conditionalFormatting>
  <conditionalFormatting sqref="E17:K31">
    <cfRule type="expression" dxfId="153" priority="1">
      <formula>ISNUMBER(SEARCH(TEXT($C17,"ddd"),$G$11))</formula>
    </cfRule>
  </conditionalFormatting>
  <conditionalFormatting sqref="N17:N31">
    <cfRule type="expression" dxfId="152" priority="106">
      <formula>ISNUMBER(SEARCH(TEXT($B17,"ddd"),$F$10))</formula>
    </cfRule>
  </conditionalFormatting>
  <dataValidations count="5">
    <dataValidation type="list" allowBlank="1" showInputMessage="1" showErrorMessage="1" sqref="D11 H46" xr:uid="{00000000-0002-0000-1F00-000000000000}">
      <formula1>DateCalc</formula1>
    </dataValidation>
    <dataValidation type="custom" allowBlank="1" showInputMessage="1" showErrorMessage="1" sqref="H52:H53 H17:H31" xr:uid="{00000000-0002-0000-1F00-000001000000}">
      <formula1>AND($H17&lt;=1,ISNUMBER($H17),($H17&gt;=$G17))</formula1>
    </dataValidation>
    <dataValidation type="custom" allowBlank="1" showInputMessage="1" showErrorMessage="1" sqref="G52:G53 E17:G31" xr:uid="{00000000-0002-0000-1F00-000002000000}">
      <formula1>AND($G17&lt;=1,ISNUMBER($G17))</formula1>
    </dataValidation>
    <dataValidation type="list" allowBlank="1" showInputMessage="1" showErrorMessage="1" sqref="E11:F11" xr:uid="{00000000-0002-0000-1F00-000003000000}">
      <formula1>GALLARDO!DateCalc</formula1>
    </dataValidation>
    <dataValidation type="list" allowBlank="1" showInputMessage="1" showErrorMessage="1" sqref="G11" xr:uid="{00000000-0002-0000-1F00-000007000000}"/>
  </dataValidations>
  <pageMargins left="1.07083333333333" right="0.25" top="0.1990625" bottom="0.23697916666666666" header="0.29861111111111099" footer="0.29861111111111099"/>
  <pageSetup paperSize="9" scale="91" orientation="landscape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45089" r:id="rId4" name="Check Box 1">
              <controlPr defaultSize="0" print="0" autoPict="0">
                <anchor moveWithCells="1">
                  <from>
                    <xdr:col>7</xdr:col>
                    <xdr:colOff>180975</xdr:colOff>
                    <xdr:row>9</xdr:row>
                    <xdr:rowOff>28575</xdr:rowOff>
                  </from>
                  <to>
                    <xdr:col>8</xdr:col>
                    <xdr:colOff>571500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F00-000004000000}">
          <x14:formula1>
            <xm:f>Data!$D$2:$D$16</xm:f>
          </x14:formula1>
          <xm:sqref>I46</xm:sqref>
        </x14:dataValidation>
        <x14:dataValidation type="list" allowBlank="1" showInputMessage="1" showErrorMessage="1" xr:uid="{00000000-0002-0000-1F00-000005000000}">
          <x14:formula1>
            <xm:f>Data!$A$2:$A$15</xm:f>
          </x14:formula1>
          <xm:sqref>B11 D46:F46</xm:sqref>
        </x14:dataValidation>
        <x14:dataValidation type="list" allowBlank="1" showInputMessage="1" showErrorMessage="1" xr:uid="{00000000-0002-0000-1F00-000006000000}">
          <x14:formula1>
            <xm:f>Data!$B$2:$B$13</xm:f>
          </x14:formula1>
          <xm:sqref>C11 G46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B5:AH75"/>
  <sheetViews>
    <sheetView showGridLines="0" showWhiteSpace="0" view="pageLayout" topLeftCell="A4" zoomScale="130" zoomScaleNormal="100" zoomScalePageLayoutView="130" workbookViewId="0">
      <selection activeCell="N45" sqref="N45"/>
    </sheetView>
  </sheetViews>
  <sheetFormatPr defaultColWidth="9" defaultRowHeight="12.75"/>
  <cols>
    <col min="1" max="1" width="1.625" customWidth="1"/>
    <col min="2" max="2" width="5.375" customWidth="1"/>
    <col min="3" max="3" width="7.125" customWidth="1"/>
    <col min="4" max="6" width="7.625" customWidth="1"/>
    <col min="7" max="7" width="10.125" customWidth="1"/>
    <col min="8" max="8" width="9.625" customWidth="1"/>
    <col min="9" max="9" width="8.125" customWidth="1"/>
    <col min="10" max="10" width="10.125" customWidth="1"/>
    <col min="11" max="11" width="7.875" customWidth="1"/>
    <col min="12" max="12" width="11.5" customWidth="1"/>
    <col min="13" max="13" width="10.625" customWidth="1"/>
    <col min="14" max="14" width="13.125" customWidth="1"/>
    <col min="15" max="15" width="16.875" customWidth="1"/>
    <col min="18" max="18" width="11.125" customWidth="1"/>
  </cols>
  <sheetData>
    <row r="5" spans="2:21" ht="25.5" customHeight="1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2:21" ht="18.75" customHeight="1">
      <c r="C6" s="527" t="s">
        <v>3</v>
      </c>
      <c r="D6" s="527"/>
      <c r="E6" s="49"/>
      <c r="F6" s="49"/>
      <c r="G6" s="50" t="s">
        <v>452</v>
      </c>
      <c r="H6" s="51"/>
      <c r="K6" s="49" t="s">
        <v>174</v>
      </c>
      <c r="M6" s="599" t="str">
        <f>PAALAN!L7</f>
        <v>September  11-25, 2026</v>
      </c>
      <c r="N6" s="599"/>
      <c r="O6" s="599"/>
    </row>
    <row r="7" spans="2:21" ht="18.75" customHeight="1">
      <c r="C7" s="527" t="s">
        <v>175</v>
      </c>
      <c r="D7" s="527"/>
      <c r="E7" s="49"/>
      <c r="F7" s="49"/>
      <c r="G7" s="50" t="s">
        <v>451</v>
      </c>
      <c r="H7" s="51"/>
      <c r="K7" s="49" t="s">
        <v>176</v>
      </c>
      <c r="L7" s="92"/>
      <c r="M7" s="600" t="str">
        <f>PAALAN!L8</f>
        <v>9/31/2026</v>
      </c>
      <c r="N7" s="600"/>
      <c r="O7" s="600"/>
    </row>
    <row r="8" spans="2:21">
      <c r="C8" s="52"/>
      <c r="D8" s="53"/>
      <c r="E8" s="53"/>
      <c r="F8" s="53"/>
      <c r="G8" s="53"/>
    </row>
    <row r="9" spans="2:21">
      <c r="B9" s="54" t="s">
        <v>10</v>
      </c>
      <c r="C9" s="54" t="s">
        <v>11</v>
      </c>
      <c r="D9" s="54" t="s">
        <v>12</v>
      </c>
      <c r="E9" s="54"/>
      <c r="F9" s="54"/>
      <c r="G9" s="55" t="s">
        <v>13</v>
      </c>
    </row>
    <row r="10" spans="2:21">
      <c r="B10" s="56">
        <v>2026</v>
      </c>
      <c r="C10" s="56" t="s">
        <v>177</v>
      </c>
      <c r="D10" s="56">
        <v>11</v>
      </c>
      <c r="E10" s="56"/>
      <c r="F10" s="56"/>
      <c r="G10" s="56" t="s">
        <v>178</v>
      </c>
    </row>
    <row r="11" spans="2:21">
      <c r="B11" s="57"/>
      <c r="C11" s="57"/>
      <c r="H11" s="57"/>
      <c r="K11" s="57"/>
      <c r="L11" s="57"/>
      <c r="M11" s="57"/>
    </row>
    <row r="12" spans="2:21" ht="32.1" customHeight="1">
      <c r="B12" s="159" t="s">
        <v>16</v>
      </c>
      <c r="C12" s="159" t="s">
        <v>17</v>
      </c>
      <c r="D12" s="159" t="s">
        <v>18</v>
      </c>
      <c r="E12" s="160"/>
      <c r="F12" s="160"/>
      <c r="G12" s="160" t="s">
        <v>19</v>
      </c>
      <c r="H12" s="161" t="s">
        <v>179</v>
      </c>
      <c r="L12" s="93"/>
      <c r="M12" s="397"/>
      <c r="N12" s="94"/>
      <c r="O12" s="159" t="s">
        <v>16</v>
      </c>
      <c r="P12" s="159" t="s">
        <v>17</v>
      </c>
      <c r="Q12" s="159" t="s">
        <v>18</v>
      </c>
      <c r="R12" s="160"/>
      <c r="S12" s="160"/>
      <c r="T12" s="160" t="s">
        <v>19</v>
      </c>
      <c r="U12" s="161" t="s">
        <v>179</v>
      </c>
    </row>
    <row r="13" spans="2:21">
      <c r="B13" s="61">
        <v>0.33333333333333331</v>
      </c>
      <c r="C13" s="62">
        <v>10</v>
      </c>
      <c r="D13" s="63">
        <f>(19000/26)/8</f>
        <v>91.34615384615384</v>
      </c>
      <c r="E13" s="142"/>
      <c r="F13" s="142"/>
      <c r="G13" s="64">
        <f>(D13*25%)+D13</f>
        <v>114.18269230769229</v>
      </c>
      <c r="H13" s="65">
        <v>104</v>
      </c>
      <c r="I13" s="95"/>
      <c r="L13" s="57"/>
      <c r="M13" s="57"/>
      <c r="N13" s="95"/>
      <c r="O13" s="61">
        <v>0.375</v>
      </c>
      <c r="P13" s="62">
        <v>3</v>
      </c>
      <c r="Q13" s="63">
        <f>(13040/26)/8</f>
        <v>62.692307692307693</v>
      </c>
      <c r="R13" s="142"/>
      <c r="S13" s="142"/>
      <c r="T13" s="64">
        <f>(Q13*25%)+Q13</f>
        <v>78.365384615384613</v>
      </c>
      <c r="U13" s="65">
        <v>105</v>
      </c>
    </row>
    <row r="14" spans="2:21">
      <c r="N14" s="96"/>
    </row>
    <row r="15" spans="2:21" ht="23.25">
      <c r="B15" s="66"/>
      <c r="C15" s="67" t="s">
        <v>20</v>
      </c>
      <c r="D15" s="67" t="s">
        <v>12</v>
      </c>
      <c r="E15" s="67"/>
      <c r="F15" s="67"/>
      <c r="G15" s="67" t="s">
        <v>21</v>
      </c>
      <c r="H15" s="67" t="s">
        <v>22</v>
      </c>
      <c r="I15" s="68" t="s">
        <v>23</v>
      </c>
      <c r="J15" s="68" t="s">
        <v>24</v>
      </c>
      <c r="K15" s="68" t="s">
        <v>25</v>
      </c>
      <c r="L15" s="67" t="s">
        <v>180</v>
      </c>
      <c r="M15" s="134" t="s">
        <v>181</v>
      </c>
      <c r="N15" s="67" t="s">
        <v>26</v>
      </c>
    </row>
    <row r="16" spans="2:21">
      <c r="B16" s="432">
        <v>1</v>
      </c>
      <c r="C16" s="429">
        <f>DATE($B$10,MATCH($C$10,Data!$B$2:$B$13,0),EDON!$D$10)</f>
        <v>46276</v>
      </c>
      <c r="D16" s="430">
        <f>DATE($B$10,MATCH($C$10,Data!$B$2:$B$13,0),EDON!$D$10)</f>
        <v>46276</v>
      </c>
      <c r="E16" s="424">
        <v>0.33333333333333331</v>
      </c>
      <c r="F16" s="424">
        <v>0</v>
      </c>
      <c r="G16" s="424">
        <f t="shared" ref="G16:G28" si="0">E16-F16</f>
        <v>0.33333333333333331</v>
      </c>
      <c r="H16" s="424">
        <v>0.75</v>
      </c>
      <c r="I16" s="425">
        <v>1</v>
      </c>
      <c r="J16" s="425">
        <f t="shared" ref="J16:J25" si="1">IFERROR(IF(AND(G16&lt;&gt;"",H16&lt;&gt;""),IF(G16&gt;$B$13+TIME($C$13,($C$13-INT($C$13))*60,0),0,IF(H16&gt;$B$13+TIME($C$13,($C$13-INT($C$13))*60,0),MIN(TIME($C$13,($C$13-INT($C$13))*60,0),($B$13+TIME($C$13,($C$13-INT($C$13))*60,0)-G16)),MIN(IF((H16-$B$13)&lt;0,0,(H16-$B$13)),(H16-G16))))*24,"")-I16,"")</f>
        <v>9</v>
      </c>
      <c r="K16" s="425">
        <f t="shared" ref="K16:K24" si="2">IF(AND(G16&lt;&gt;"",H16&lt;&gt;""),((IF(G16&lt;$B$13,MIN($B$13-G16,H16-G16),0)+IF(H16&gt;$B$13+TIME($C$13,($C$13-INT($C$13))*60,0),MIN((H16-$B$13-TIME($C$13,($C$13-INT($C$13))*60,0)),(H16-G16)),0))*24),"")</f>
        <v>0</v>
      </c>
      <c r="L16" s="426">
        <f>E16-B13</f>
        <v>0</v>
      </c>
      <c r="M16" s="423">
        <f>(D13/60)*0</f>
        <v>0</v>
      </c>
      <c r="N16" s="427">
        <f>IFERROR(J16*IF(AND(ISNUMBER(SEARCH(TEXT(C16,"ddd"),$G$10)),Data!$F$2),$G$13,$D$13)+K16*$G$13,"")</f>
        <v>822.11538461538453</v>
      </c>
      <c r="O16" s="141">
        <f t="shared" ref="O16:O30" si="3">M16+N16</f>
        <v>822.11538461538453</v>
      </c>
      <c r="P16" s="100"/>
      <c r="Q16" s="89"/>
    </row>
    <row r="17" spans="2:34">
      <c r="B17" s="432">
        <v>2</v>
      </c>
      <c r="C17" s="429">
        <f t="shared" ref="C17:D30" si="4">C16+1</f>
        <v>46277</v>
      </c>
      <c r="D17" s="430">
        <f t="shared" si="4"/>
        <v>46277</v>
      </c>
      <c r="E17" s="424">
        <v>0.375</v>
      </c>
      <c r="F17" s="424">
        <v>0</v>
      </c>
      <c r="G17" s="424">
        <f t="shared" si="0"/>
        <v>0.375</v>
      </c>
      <c r="H17" s="424">
        <v>0.5</v>
      </c>
      <c r="I17" s="425">
        <v>0</v>
      </c>
      <c r="J17" s="425">
        <f t="shared" si="1"/>
        <v>3</v>
      </c>
      <c r="K17" s="425">
        <f t="shared" si="2"/>
        <v>0</v>
      </c>
      <c r="L17" s="426">
        <f>E17-B13</f>
        <v>4.1666666666666685E-2</v>
      </c>
      <c r="M17" s="423">
        <f>(D13/60)*0</f>
        <v>0</v>
      </c>
      <c r="N17" s="427">
        <f>IFERROR(J17*IF(AND(ISNUMBER(SEARCH(TEXT(C17,"ddd"),$G$10)),Data!$F$2),$G$13,$D$13)+K17*$G$13,"")</f>
        <v>274.03846153846155</v>
      </c>
      <c r="O17" s="141"/>
      <c r="P17" s="89"/>
      <c r="Q17" s="89"/>
    </row>
    <row r="18" spans="2:34">
      <c r="B18" s="432"/>
      <c r="C18" s="429">
        <f t="shared" si="4"/>
        <v>46278</v>
      </c>
      <c r="D18" s="430">
        <f t="shared" si="4"/>
        <v>46278</v>
      </c>
      <c r="E18" s="328">
        <v>0</v>
      </c>
      <c r="F18" s="328">
        <v>0</v>
      </c>
      <c r="G18" s="328">
        <f t="shared" si="0"/>
        <v>0</v>
      </c>
      <c r="H18" s="328">
        <v>0</v>
      </c>
      <c r="I18" s="329">
        <v>0</v>
      </c>
      <c r="J18" s="329">
        <f t="shared" si="1"/>
        <v>0</v>
      </c>
      <c r="K18" s="329">
        <f t="shared" si="2"/>
        <v>0</v>
      </c>
      <c r="L18" s="97">
        <v>0</v>
      </c>
      <c r="M18" s="98">
        <f>(D13/60)*0</f>
        <v>0</v>
      </c>
      <c r="N18" s="251">
        <f>IFERROR(J18*IF(AND(ISNUMBER(SEARCH(TEXT(C18,"ddd"),$G$10)),Data!$F$2),$G$13,$D$13)+K18*$G$13,"")</f>
        <v>0</v>
      </c>
      <c r="O18" s="141">
        <f t="shared" si="3"/>
        <v>0</v>
      </c>
      <c r="P18" s="100"/>
      <c r="Q18" s="104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</row>
    <row r="19" spans="2:34">
      <c r="B19" s="432">
        <v>3</v>
      </c>
      <c r="C19" s="429">
        <f t="shared" si="4"/>
        <v>46279</v>
      </c>
      <c r="D19" s="430">
        <f t="shared" si="4"/>
        <v>46279</v>
      </c>
      <c r="E19" s="424">
        <v>0.33958333333333335</v>
      </c>
      <c r="F19" s="424">
        <v>0</v>
      </c>
      <c r="G19" s="424">
        <f t="shared" si="0"/>
        <v>0.33958333333333335</v>
      </c>
      <c r="H19" s="424">
        <v>0.75</v>
      </c>
      <c r="I19" s="425">
        <v>1</v>
      </c>
      <c r="J19" s="425">
        <f t="shared" si="1"/>
        <v>8.85</v>
      </c>
      <c r="K19" s="425">
        <f t="shared" si="2"/>
        <v>0</v>
      </c>
      <c r="L19" s="426">
        <f>E19-B13</f>
        <v>6.2500000000000333E-3</v>
      </c>
      <c r="M19" s="423">
        <f>(D13/60)*0</f>
        <v>0</v>
      </c>
      <c r="N19" s="427">
        <f>IFERROR(J19*IF(AND(ISNUMBER(SEARCH(TEXT(C19,"ddd"),$G$10)),Data!$F$2),$G$13,$D$13)+K19*$G$13,"")</f>
        <v>808.41346153846143</v>
      </c>
      <c r="O19" s="141">
        <f t="shared" si="3"/>
        <v>808.41346153846143</v>
      </c>
      <c r="P19" s="103"/>
      <c r="Q19" s="103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28"/>
    </row>
    <row r="20" spans="2:34">
      <c r="B20" s="432">
        <v>4</v>
      </c>
      <c r="C20" s="429">
        <f t="shared" si="4"/>
        <v>46280</v>
      </c>
      <c r="D20" s="430">
        <f t="shared" si="4"/>
        <v>46280</v>
      </c>
      <c r="E20" s="424">
        <v>0.33333333333333331</v>
      </c>
      <c r="F20" s="424">
        <v>0</v>
      </c>
      <c r="G20" s="424">
        <f t="shared" si="0"/>
        <v>0.33333333333333331</v>
      </c>
      <c r="H20" s="424">
        <v>0.75</v>
      </c>
      <c r="I20" s="425">
        <v>1</v>
      </c>
      <c r="J20" s="425">
        <f t="shared" si="1"/>
        <v>9</v>
      </c>
      <c r="K20" s="425">
        <f t="shared" si="2"/>
        <v>0</v>
      </c>
      <c r="L20" s="426">
        <f>E20-B13</f>
        <v>0</v>
      </c>
      <c r="M20" s="423">
        <f>(D13/60)*0</f>
        <v>0</v>
      </c>
      <c r="N20" s="427">
        <f>IFERROR(J20*IF(AND(ISNUMBER(SEARCH(TEXT(C20,"ddd"),$G$10)),Data!$F$2),$G$13,$D$13)+K20*$G$13,"")</f>
        <v>822.11538461538453</v>
      </c>
      <c r="O20" s="141">
        <f t="shared" si="3"/>
        <v>822.11538461538453</v>
      </c>
      <c r="P20" s="162">
        <f>N20-O20</f>
        <v>0</v>
      </c>
      <c r="Q20" s="108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4"/>
    </row>
    <row r="21" spans="2:34">
      <c r="B21" s="432">
        <v>5</v>
      </c>
      <c r="C21" s="429">
        <f t="shared" si="4"/>
        <v>46281</v>
      </c>
      <c r="D21" s="430">
        <f t="shared" si="4"/>
        <v>46281</v>
      </c>
      <c r="E21" s="424">
        <v>0.33333333333333331</v>
      </c>
      <c r="F21" s="424">
        <v>0</v>
      </c>
      <c r="G21" s="424">
        <f t="shared" si="0"/>
        <v>0.33333333333333331</v>
      </c>
      <c r="H21" s="424">
        <v>0.75</v>
      </c>
      <c r="I21" s="425">
        <v>1</v>
      </c>
      <c r="J21" s="425">
        <f t="shared" si="1"/>
        <v>9</v>
      </c>
      <c r="K21" s="425">
        <f t="shared" si="2"/>
        <v>0</v>
      </c>
      <c r="L21" s="426">
        <f>E21-B13</f>
        <v>0</v>
      </c>
      <c r="M21" s="423">
        <f>(D13/60)*0</f>
        <v>0</v>
      </c>
      <c r="N21" s="427">
        <f>IFERROR(J21*IF(AND(ISNUMBER(SEARCH(TEXT(C21,"ddd"),$G$10)),Data!$F$2),$G$13,$D$13)+K21*$G$13,"")</f>
        <v>822.11538461538453</v>
      </c>
      <c r="O21" s="141">
        <f t="shared" si="3"/>
        <v>822.11538461538453</v>
      </c>
      <c r="P21" s="163"/>
      <c r="Q21" s="135"/>
      <c r="R21" s="96">
        <v>0.40486111111111101</v>
      </c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4"/>
    </row>
    <row r="22" spans="2:34">
      <c r="B22" s="432">
        <v>6</v>
      </c>
      <c r="C22" s="429">
        <f t="shared" si="4"/>
        <v>46282</v>
      </c>
      <c r="D22" s="430">
        <f t="shared" si="4"/>
        <v>46282</v>
      </c>
      <c r="E22" s="424">
        <v>0.33333333333333331</v>
      </c>
      <c r="F22" s="424">
        <v>0</v>
      </c>
      <c r="G22" s="424">
        <f t="shared" si="0"/>
        <v>0.33333333333333331</v>
      </c>
      <c r="H22" s="424">
        <v>0.75</v>
      </c>
      <c r="I22" s="425">
        <v>1</v>
      </c>
      <c r="J22" s="425">
        <f t="shared" si="1"/>
        <v>9</v>
      </c>
      <c r="K22" s="425">
        <f t="shared" si="2"/>
        <v>0</v>
      </c>
      <c r="L22" s="426">
        <f>E22-B13</f>
        <v>0</v>
      </c>
      <c r="M22" s="423">
        <f>(D13/60)*0</f>
        <v>0</v>
      </c>
      <c r="N22" s="427">
        <f>IFERROR(J22*IF(AND(ISNUMBER(SEARCH(TEXT(C22,"ddd"),$G$10)),Data!$F$2),$G$13,$D$13)+K22*$G$13,"")</f>
        <v>822.11538461538453</v>
      </c>
      <c r="O22" s="141">
        <f t="shared" si="3"/>
        <v>822.11538461538453</v>
      </c>
      <c r="P22" s="150"/>
      <c r="Q22" s="89"/>
      <c r="R22" s="96">
        <v>1.0416666666666701E-2</v>
      </c>
    </row>
    <row r="23" spans="2:34">
      <c r="B23" s="432">
        <v>7</v>
      </c>
      <c r="C23" s="429">
        <f t="shared" si="4"/>
        <v>46283</v>
      </c>
      <c r="D23" s="430">
        <f t="shared" si="4"/>
        <v>46283</v>
      </c>
      <c r="E23" s="424">
        <v>0.33333333333333331</v>
      </c>
      <c r="F23" s="424">
        <v>0</v>
      </c>
      <c r="G23" s="424">
        <f t="shared" si="0"/>
        <v>0.33333333333333331</v>
      </c>
      <c r="H23" s="424">
        <v>0.75</v>
      </c>
      <c r="I23" s="425">
        <v>1</v>
      </c>
      <c r="J23" s="425">
        <f t="shared" si="1"/>
        <v>9</v>
      </c>
      <c r="K23" s="425">
        <f t="shared" si="2"/>
        <v>0</v>
      </c>
      <c r="L23" s="426">
        <f>E23-B13</f>
        <v>0</v>
      </c>
      <c r="M23" s="423">
        <f>(D13/60)*0</f>
        <v>0</v>
      </c>
      <c r="N23" s="427">
        <f>IFERROR(J23*IF(AND(ISNUMBER(SEARCH(TEXT(C23,"ddd"),$G$10)),Data!$F$2),$G$13,$D$13)+K23*$G$13,"")</f>
        <v>822.11538461538453</v>
      </c>
      <c r="O23" s="141">
        <f t="shared" si="3"/>
        <v>822.11538461538453</v>
      </c>
      <c r="P23" s="155"/>
      <c r="Q23" s="89"/>
      <c r="R23" s="129">
        <f>R21-R22</f>
        <v>0.39444444444444432</v>
      </c>
    </row>
    <row r="24" spans="2:34">
      <c r="B24" s="432">
        <v>8</v>
      </c>
      <c r="C24" s="429">
        <f t="shared" si="4"/>
        <v>46284</v>
      </c>
      <c r="D24" s="430">
        <f t="shared" si="4"/>
        <v>46284</v>
      </c>
      <c r="E24" s="424">
        <v>0.375</v>
      </c>
      <c r="F24" s="424">
        <v>0</v>
      </c>
      <c r="G24" s="424">
        <f t="shared" si="0"/>
        <v>0.375</v>
      </c>
      <c r="H24" s="424">
        <v>0.5</v>
      </c>
      <c r="I24" s="425">
        <v>0</v>
      </c>
      <c r="J24" s="425">
        <f t="shared" si="1"/>
        <v>3</v>
      </c>
      <c r="K24" s="425">
        <f t="shared" si="2"/>
        <v>0</v>
      </c>
      <c r="L24" s="426">
        <f>G24-B13</f>
        <v>4.1666666666666685E-2</v>
      </c>
      <c r="M24" s="423">
        <f>(D13/60)*0</f>
        <v>0</v>
      </c>
      <c r="N24" s="427">
        <f>IFERROR(J24*IF(AND(ISNUMBER(SEARCH(TEXT(C24,"ddd"),$G$10)),Data!$F$2),$G$13,$D$13)+K24*$G$13,"")</f>
        <v>274.03846153846155</v>
      </c>
      <c r="O24" s="141">
        <f t="shared" si="3"/>
        <v>274.03846153846155</v>
      </c>
      <c r="P24" s="89"/>
      <c r="Q24" s="89"/>
    </row>
    <row r="25" spans="2:34">
      <c r="B25" s="432"/>
      <c r="C25" s="429">
        <f t="shared" si="4"/>
        <v>46285</v>
      </c>
      <c r="D25" s="430">
        <f t="shared" si="4"/>
        <v>46285</v>
      </c>
      <c r="E25" s="328">
        <v>0</v>
      </c>
      <c r="F25" s="328">
        <v>0</v>
      </c>
      <c r="G25" s="328">
        <f t="shared" si="0"/>
        <v>0</v>
      </c>
      <c r="H25" s="328">
        <v>0</v>
      </c>
      <c r="I25" s="329">
        <v>0</v>
      </c>
      <c r="J25" s="329">
        <f t="shared" si="1"/>
        <v>0</v>
      </c>
      <c r="K25" s="329">
        <f t="shared" ref="K25:K26" si="5">IF(AND(G25&lt;&gt;"",H25&lt;&gt;""),((IF(G25&lt;$B$13,MIN($B$13-G25,H25-G25),0)+IF(H25&gt;$B$13+TIME($C$13,($C$13-INT($C$13))*60,0),MIN((H25-$B$13-TIME($C$13,($C$13-INT($C$13))*60,0)),(H25-G25)),0))*24),"")</f>
        <v>0</v>
      </c>
      <c r="L25" s="97">
        <v>0</v>
      </c>
      <c r="M25" s="98">
        <f>(D13/60)*0</f>
        <v>0</v>
      </c>
      <c r="N25" s="251">
        <f>IFERROR(J25*IF(AND(ISNUMBER(SEARCH(TEXT(C25,"ddd"),$G$10)),Data!$F$2),$G$13,$D$13)+K25*$G$13,"")</f>
        <v>0</v>
      </c>
      <c r="O25" s="141">
        <f t="shared" si="3"/>
        <v>0</v>
      </c>
      <c r="P25" s="89"/>
      <c r="Q25" s="89"/>
    </row>
    <row r="26" spans="2:34">
      <c r="B26" s="432">
        <v>9</v>
      </c>
      <c r="C26" s="429">
        <f t="shared" si="4"/>
        <v>46286</v>
      </c>
      <c r="D26" s="430">
        <f t="shared" si="4"/>
        <v>46286</v>
      </c>
      <c r="E26" s="424">
        <v>0.34375</v>
      </c>
      <c r="F26" s="424">
        <v>0</v>
      </c>
      <c r="G26" s="424">
        <f t="shared" si="0"/>
        <v>0.34375</v>
      </c>
      <c r="H26" s="424">
        <v>0.75</v>
      </c>
      <c r="I26" s="425">
        <v>1</v>
      </c>
      <c r="J26" s="425">
        <f t="shared" ref="J26" si="6">IFERROR(IF(AND(G26&lt;&gt;"",H26&lt;&gt;""),IF(G26&gt;$B$13+TIME($C$13,($C$13-INT($C$13))*60,0),0,IF(H26&gt;$B$13+TIME($C$13,($C$13-INT($C$13))*60,0),MIN(TIME($C$13,($C$13-INT($C$13))*60,0),($B$13+TIME($C$13,($C$13-INT($C$13))*60,0)-G26)),MIN(IF((H26-$B$13)&lt;0,0,(H26-$B$13)),(H26-G26))))*24,"")-I26,"")</f>
        <v>8.75</v>
      </c>
      <c r="K26" s="425">
        <f t="shared" si="5"/>
        <v>0</v>
      </c>
      <c r="L26" s="426">
        <f>E26-B13</f>
        <v>1.0416666666666685E-2</v>
      </c>
      <c r="M26" s="423">
        <f>(D13/60)*0</f>
        <v>0</v>
      </c>
      <c r="N26" s="427">
        <f>IFERROR(J26*IF(AND(ISNUMBER(SEARCH(TEXT(C26,"ddd"),$G$10)),Data!$F$2),$G$13,$D$13)+K26*$G$13,"")</f>
        <v>799.27884615384608</v>
      </c>
      <c r="O26" s="141">
        <f t="shared" si="3"/>
        <v>799.27884615384608</v>
      </c>
      <c r="P26" s="127">
        <f>O26-N26</f>
        <v>0</v>
      </c>
      <c r="Q26" s="89"/>
    </row>
    <row r="27" spans="2:34">
      <c r="B27" s="432">
        <v>10</v>
      </c>
      <c r="C27" s="429">
        <f t="shared" si="4"/>
        <v>46287</v>
      </c>
      <c r="D27" s="430">
        <f t="shared" si="4"/>
        <v>46287</v>
      </c>
      <c r="E27" s="424">
        <v>0.33333333333333331</v>
      </c>
      <c r="F27" s="424">
        <v>0</v>
      </c>
      <c r="G27" s="424">
        <f t="shared" si="0"/>
        <v>0.33333333333333331</v>
      </c>
      <c r="H27" s="424">
        <v>0.75</v>
      </c>
      <c r="I27" s="425">
        <v>1</v>
      </c>
      <c r="J27" s="425">
        <f t="shared" ref="J27:J30" si="7">IFERROR(IF(AND(G27&lt;&gt;"",H27&lt;&gt;""),IF(G27&gt;$B$13+TIME($C$13,($C$13-INT($C$13))*60,0),0,IF(H27&gt;$B$13+TIME($C$13,($C$13-INT($C$13))*60,0),MIN(TIME($C$13,($C$13-INT($C$13))*60,0),($B$13+TIME($C$13,($C$13-INT($C$13))*60,0)-G27)),MIN(IF((H27-$B$13)&lt;0,0,(H27-$B$13)),(H27-G27))))*24,"")-I27,"")</f>
        <v>9</v>
      </c>
      <c r="K27" s="425">
        <f t="shared" ref="K27:K28" si="8">IF(AND(G27&lt;&gt;"",H27&lt;&gt;""),((IF(G27&lt;$B$13,MIN($B$13-G27,H27-G27),0)+IF(H27&gt;$B$13+TIME($C$13,($C$13-INT($C$13))*60,0),MIN((H27-$B$13-TIME($C$13,($C$13-INT($C$13))*60,0)),(H27-G27)),0))*24),"")</f>
        <v>0</v>
      </c>
      <c r="L27" s="426">
        <f>E27-B13</f>
        <v>0</v>
      </c>
      <c r="M27" s="423">
        <f>(D13/60)*0</f>
        <v>0</v>
      </c>
      <c r="N27" s="427">
        <f>IFERROR(J27*IF(AND(ISNUMBER(SEARCH(TEXT(C27,"ddd"),$G$10)),Data!$F$2),$G$13,$D$13)+K27*$G$13,"")</f>
        <v>822.11538461538453</v>
      </c>
      <c r="O27" s="141">
        <f t="shared" si="3"/>
        <v>822.11538461538453</v>
      </c>
      <c r="Q27" s="89"/>
    </row>
    <row r="28" spans="2:34">
      <c r="B28" s="432">
        <v>11</v>
      </c>
      <c r="C28" s="429">
        <f t="shared" si="4"/>
        <v>46288</v>
      </c>
      <c r="D28" s="430">
        <f t="shared" si="4"/>
        <v>46288</v>
      </c>
      <c r="E28" s="424">
        <v>0</v>
      </c>
      <c r="F28" s="424">
        <v>0</v>
      </c>
      <c r="G28" s="424">
        <f t="shared" si="0"/>
        <v>0</v>
      </c>
      <c r="H28" s="424">
        <v>0</v>
      </c>
      <c r="I28" s="425">
        <v>0</v>
      </c>
      <c r="J28" s="425">
        <f t="shared" si="7"/>
        <v>0</v>
      </c>
      <c r="K28" s="425">
        <f t="shared" si="8"/>
        <v>0</v>
      </c>
      <c r="L28" s="426">
        <v>0</v>
      </c>
      <c r="M28" s="423">
        <f>(D13/60)*540</f>
        <v>822.11538461538453</v>
      </c>
      <c r="N28" s="427">
        <f>IFERROR(J28*IF(AND(ISNUMBER(SEARCH(TEXT(C28,"ddd"),$G$10)),Data!$F$2),$G$13,$D$13)+K28*$G$13,"")</f>
        <v>0</v>
      </c>
      <c r="O28" s="141">
        <f t="shared" si="3"/>
        <v>822.11538461538453</v>
      </c>
      <c r="Q28" s="89"/>
    </row>
    <row r="29" spans="2:34">
      <c r="B29" s="432">
        <v>12</v>
      </c>
      <c r="C29" s="429">
        <f t="shared" si="4"/>
        <v>46289</v>
      </c>
      <c r="D29" s="430">
        <f t="shared" si="4"/>
        <v>46289</v>
      </c>
      <c r="E29" s="424">
        <v>0.34097222222222223</v>
      </c>
      <c r="F29" s="424">
        <v>0</v>
      </c>
      <c r="G29" s="424">
        <f>E29-F29</f>
        <v>0.34097222222222223</v>
      </c>
      <c r="H29" s="424">
        <v>0.75</v>
      </c>
      <c r="I29" s="425">
        <v>1</v>
      </c>
      <c r="J29" s="425">
        <f t="shared" si="7"/>
        <v>8.8166666666666664</v>
      </c>
      <c r="K29" s="425">
        <v>0</v>
      </c>
      <c r="L29" s="431">
        <f>E29-B13</f>
        <v>7.6388888888889173E-3</v>
      </c>
      <c r="M29" s="423">
        <f>(D13/60)*0</f>
        <v>0</v>
      </c>
      <c r="N29" s="427">
        <f>IFERROR(J29*IF(AND(ISNUMBER(SEARCH(TEXT(C29,"ddd"),$G$10)),Data!$F$2),$G$13,$D$13)+K29*$G$13,"")</f>
        <v>805.36858974358961</v>
      </c>
      <c r="O29" s="141">
        <f t="shared" si="3"/>
        <v>805.36858974358961</v>
      </c>
      <c r="P29" s="127"/>
      <c r="Q29" s="89"/>
    </row>
    <row r="30" spans="2:34">
      <c r="B30" s="432">
        <v>13</v>
      </c>
      <c r="C30" s="429">
        <f t="shared" si="4"/>
        <v>46290</v>
      </c>
      <c r="D30" s="430">
        <f t="shared" si="4"/>
        <v>46290</v>
      </c>
      <c r="E30" s="424">
        <v>0.33333333333333331</v>
      </c>
      <c r="F30" s="424">
        <v>0</v>
      </c>
      <c r="G30" s="424">
        <f>E30-F30</f>
        <v>0.33333333333333331</v>
      </c>
      <c r="H30" s="424">
        <v>0.75</v>
      </c>
      <c r="I30" s="425">
        <v>1</v>
      </c>
      <c r="J30" s="425">
        <f t="shared" si="7"/>
        <v>9</v>
      </c>
      <c r="K30" s="425">
        <v>0</v>
      </c>
      <c r="L30" s="431">
        <v>0</v>
      </c>
      <c r="M30" s="423">
        <f>(D14/60)*0</f>
        <v>0</v>
      </c>
      <c r="N30" s="427">
        <f>IFERROR(J30*IF(AND(ISNUMBER(SEARCH(TEXT(C30,"ddd"),$G$10)),Data!$F$2),$G$13,$D$13)+K30*$G$13,"")</f>
        <v>822.11538461538453</v>
      </c>
      <c r="O30" s="141">
        <f t="shared" si="3"/>
        <v>822.11538461538453</v>
      </c>
    </row>
    <row r="31" spans="2:34">
      <c r="B31" s="441"/>
      <c r="C31" s="442"/>
      <c r="D31" s="443"/>
      <c r="E31" s="444"/>
      <c r="F31" s="444"/>
      <c r="G31" s="593" t="s">
        <v>182</v>
      </c>
      <c r="H31" s="594"/>
      <c r="I31" s="445">
        <f>SUM(I16:I30)</f>
        <v>10</v>
      </c>
      <c r="J31" s="445">
        <f>SUM(J16:J30)</f>
        <v>95.416666666666657</v>
      </c>
      <c r="K31" s="445">
        <f>SUM(K16:K30)</f>
        <v>0</v>
      </c>
      <c r="L31" s="445">
        <f>SUM(L16:L30)</f>
        <v>0.10763888888888901</v>
      </c>
      <c r="M31" s="445">
        <f>SUM(M16:M30)</f>
        <v>822.11538461538453</v>
      </c>
      <c r="N31" s="441"/>
      <c r="O31" s="165">
        <f>SUM(N16:N30)</f>
        <v>8715.9455128205136</v>
      </c>
    </row>
    <row r="32" spans="2:34">
      <c r="B32" s="441"/>
      <c r="C32" s="442"/>
      <c r="D32" s="443"/>
      <c r="E32" s="444"/>
      <c r="F32" s="444"/>
      <c r="G32" s="459" t="s">
        <v>39</v>
      </c>
      <c r="H32" s="460"/>
      <c r="I32" s="461"/>
      <c r="J32" s="462"/>
      <c r="K32" s="463"/>
      <c r="L32" s="464">
        <f>(D13/60)*180</f>
        <v>274.03846153846155</v>
      </c>
      <c r="M32" s="465"/>
      <c r="N32" s="466">
        <f>D13*H13</f>
        <v>9500</v>
      </c>
      <c r="O32" s="95">
        <f>SUM(N16:N30)</f>
        <v>8715.9455128205136</v>
      </c>
      <c r="P32" s="95"/>
      <c r="Q32" s="95"/>
    </row>
    <row r="33" spans="2:17">
      <c r="B33" s="467"/>
      <c r="C33" s="467"/>
      <c r="D33" s="468"/>
      <c r="E33" s="468"/>
      <c r="F33" s="468"/>
      <c r="G33" s="607" t="s">
        <v>183</v>
      </c>
      <c r="H33" s="607"/>
      <c r="I33" s="445"/>
      <c r="J33" s="445">
        <f>H13-J31</f>
        <v>8.5833333333333428</v>
      </c>
      <c r="K33" s="467"/>
      <c r="L33" s="469"/>
      <c r="M33" s="467"/>
      <c r="N33" s="470">
        <f>M31</f>
        <v>822.11538461538453</v>
      </c>
      <c r="O33" s="151">
        <f>O31-O32</f>
        <v>0</v>
      </c>
      <c r="P33" s="95"/>
      <c r="Q33" s="95"/>
    </row>
    <row r="34" spans="2:17">
      <c r="B34" s="65"/>
      <c r="C34" s="65"/>
      <c r="D34" s="85"/>
      <c r="E34" s="145"/>
      <c r="F34" s="145"/>
      <c r="G34" s="78" t="s">
        <v>41</v>
      </c>
      <c r="H34" s="79"/>
      <c r="I34" s="66"/>
      <c r="J34" s="66"/>
      <c r="K34" s="80"/>
      <c r="L34" s="80"/>
      <c r="M34" s="80"/>
      <c r="N34" s="121">
        <f>N32-N33</f>
        <v>8677.8846153846152</v>
      </c>
      <c r="O34" s="95"/>
      <c r="P34" s="95"/>
      <c r="Q34" s="95"/>
    </row>
    <row r="35" spans="2:17">
      <c r="B35" s="65"/>
      <c r="C35" s="65"/>
      <c r="D35" s="85"/>
      <c r="E35" s="146"/>
      <c r="F35" s="146"/>
      <c r="G35" s="604" t="s">
        <v>184</v>
      </c>
      <c r="H35" s="605"/>
      <c r="I35" s="80"/>
      <c r="J35" s="401"/>
      <c r="K35" s="122"/>
      <c r="L35" s="122"/>
      <c r="M35" s="122"/>
      <c r="N35" s="123">
        <f>(G13*K31)</f>
        <v>0</v>
      </c>
      <c r="O35" s="95"/>
    </row>
    <row r="36" spans="2:17">
      <c r="B36" s="65"/>
      <c r="C36" s="65"/>
      <c r="D36" s="85"/>
      <c r="E36" s="146"/>
      <c r="F36" s="146"/>
      <c r="G36" s="86" t="s">
        <v>185</v>
      </c>
      <c r="H36" s="87"/>
      <c r="I36" s="80"/>
      <c r="J36" s="66"/>
      <c r="K36" s="122"/>
      <c r="L36" s="122"/>
      <c r="M36" s="122"/>
      <c r="N36" s="123">
        <f>H63</f>
        <v>0</v>
      </c>
      <c r="O36" s="95"/>
    </row>
    <row r="37" spans="2:17">
      <c r="B37" s="65"/>
      <c r="C37" s="65"/>
      <c r="D37" s="85"/>
      <c r="E37" s="145"/>
      <c r="F37" s="145"/>
      <c r="G37" s="597" t="s">
        <v>186</v>
      </c>
      <c r="H37" s="598"/>
      <c r="I37" s="66"/>
      <c r="J37" s="66"/>
      <c r="K37" s="66"/>
      <c r="L37" s="66"/>
      <c r="M37" s="66"/>
      <c r="N37" s="124">
        <f>N34+N35+N36</f>
        <v>8677.8846153846152</v>
      </c>
      <c r="O37" s="95"/>
    </row>
    <row r="38" spans="2:17">
      <c r="D38" s="88"/>
      <c r="E38" s="88"/>
      <c r="F38" s="88"/>
      <c r="G38" s="589"/>
      <c r="H38" s="589"/>
      <c r="I38" s="90"/>
      <c r="J38" s="90"/>
      <c r="K38" s="125"/>
      <c r="L38" s="125"/>
      <c r="M38" s="125"/>
      <c r="N38" s="126"/>
      <c r="O38" s="127"/>
    </row>
    <row r="39" spans="2:17">
      <c r="D39" s="88"/>
      <c r="E39" s="88"/>
      <c r="F39" s="88"/>
      <c r="G39" s="89"/>
      <c r="H39" s="89"/>
      <c r="I39" s="90"/>
      <c r="J39" s="90"/>
      <c r="K39" s="125"/>
      <c r="L39" s="125"/>
      <c r="M39" s="125"/>
      <c r="N39" s="126"/>
      <c r="O39" s="127"/>
    </row>
    <row r="40" spans="2:17">
      <c r="D40" s="88"/>
      <c r="E40" s="88"/>
      <c r="F40" s="88"/>
      <c r="G40" s="89"/>
      <c r="H40" s="89"/>
      <c r="I40" s="90"/>
      <c r="J40" s="90"/>
      <c r="K40" s="125"/>
      <c r="L40" s="125"/>
      <c r="M40" s="125"/>
      <c r="N40" s="126"/>
      <c r="O40" s="127"/>
    </row>
    <row r="41" spans="2:17">
      <c r="D41" s="88"/>
      <c r="E41" s="88"/>
      <c r="F41" s="88"/>
      <c r="G41" s="89"/>
      <c r="H41" s="89"/>
      <c r="I41" s="90"/>
      <c r="J41" s="90"/>
      <c r="K41" s="125"/>
      <c r="L41" s="125"/>
      <c r="M41" s="125"/>
      <c r="N41" s="126"/>
      <c r="O41" s="127"/>
    </row>
    <row r="42" spans="2:17">
      <c r="D42" s="91"/>
      <c r="E42" s="91"/>
      <c r="F42" s="91"/>
    </row>
    <row r="43" spans="2:17">
      <c r="B43" s="590" t="s">
        <v>187</v>
      </c>
      <c r="C43" s="590"/>
      <c r="D43" s="590"/>
      <c r="E43" s="590"/>
      <c r="F43" s="590"/>
      <c r="G43" s="590"/>
      <c r="H43" s="590"/>
      <c r="I43" s="590"/>
      <c r="J43" s="590"/>
      <c r="K43" s="590"/>
      <c r="L43" s="590"/>
      <c r="M43" s="590"/>
      <c r="N43" s="590"/>
    </row>
    <row r="44" spans="2:17">
      <c r="D44" s="91"/>
      <c r="E44" s="91"/>
      <c r="F44" s="91"/>
    </row>
    <row r="45" spans="2:17">
      <c r="D45" s="91" t="s">
        <v>188</v>
      </c>
      <c r="E45" s="91"/>
      <c r="F45" s="91"/>
      <c r="N45" s="95"/>
    </row>
    <row r="46" spans="2:17">
      <c r="D46" s="54" t="s">
        <v>10</v>
      </c>
      <c r="E46" s="54"/>
      <c r="F46" s="54"/>
      <c r="G46" s="54" t="s">
        <v>11</v>
      </c>
      <c r="H46" s="54" t="s">
        <v>12</v>
      </c>
      <c r="I46" s="55" t="s">
        <v>13</v>
      </c>
    </row>
    <row r="47" spans="2:17">
      <c r="D47" s="56">
        <v>2026</v>
      </c>
      <c r="E47" s="56"/>
      <c r="F47" s="56"/>
      <c r="G47" s="56" t="s">
        <v>189</v>
      </c>
      <c r="H47" s="56">
        <v>21</v>
      </c>
      <c r="I47" s="56" t="s">
        <v>15</v>
      </c>
    </row>
    <row r="48" spans="2:17">
      <c r="D48" s="57"/>
      <c r="E48" s="57"/>
      <c r="F48" s="57"/>
      <c r="G48" s="57"/>
    </row>
    <row r="49" spans="3:14" ht="33.75">
      <c r="D49" s="58" t="s">
        <v>16</v>
      </c>
      <c r="E49" s="58"/>
      <c r="F49" s="58"/>
      <c r="G49" s="58" t="s">
        <v>17</v>
      </c>
      <c r="H49" s="58" t="s">
        <v>18</v>
      </c>
      <c r="I49" s="58" t="s">
        <v>19</v>
      </c>
    </row>
    <row r="50" spans="3:14">
      <c r="D50" s="61">
        <v>0.33333333333333298</v>
      </c>
      <c r="E50" s="61"/>
      <c r="F50" s="61"/>
      <c r="G50" s="62">
        <v>10</v>
      </c>
      <c r="H50" s="63">
        <f>D13</f>
        <v>91.34615384615384</v>
      </c>
      <c r="I50" s="130">
        <f>(H50*30%)+H50</f>
        <v>118.74999999999999</v>
      </c>
      <c r="M50" s="95"/>
    </row>
    <row r="52" spans="3:14">
      <c r="C52" s="131" t="s">
        <v>20</v>
      </c>
      <c r="D52" s="131" t="s">
        <v>12</v>
      </c>
      <c r="E52" s="131"/>
      <c r="F52" s="131"/>
      <c r="G52" s="131" t="s">
        <v>21</v>
      </c>
      <c r="H52" s="131" t="s">
        <v>22</v>
      </c>
      <c r="I52" s="131" t="s">
        <v>23</v>
      </c>
      <c r="J52" s="131" t="s">
        <v>24</v>
      </c>
      <c r="K52" s="131" t="s">
        <v>25</v>
      </c>
      <c r="L52" s="131"/>
      <c r="M52" s="131"/>
      <c r="N52" s="131" t="s">
        <v>26</v>
      </c>
    </row>
    <row r="53" spans="3:14">
      <c r="C53" s="70" t="s">
        <v>440</v>
      </c>
      <c r="D53" s="71">
        <f>DATE($B$11,MATCH($G$47,Data!$B$2:$B$13,0),EDON!$H$47)</f>
        <v>234</v>
      </c>
      <c r="E53" s="71"/>
      <c r="F53" s="71"/>
      <c r="G53" s="72">
        <v>0.33333333333333331</v>
      </c>
      <c r="H53" s="72">
        <v>0.75</v>
      </c>
      <c r="I53" s="73">
        <v>1</v>
      </c>
      <c r="J53" s="73">
        <f t="shared" ref="J53" si="9">IFERROR(IF(AND(G53&lt;&gt;"",H53&lt;&gt;""),IF(G53&gt;$B$13+TIME($C$13,($C$13-INT($C$13))*60,0),0,IF(H53&gt;$B$13+TIME($C$13,($C$13-INT($C$13))*60,0),MIN(TIME($C$13,($C$13-INT($C$13))*60,0),($B$13+TIME($C$13,($C$13-INT($C$13))*60,0)-G53)),MIN(IF((H53-$B$13)&lt;0,0,(H53-$B$13)),(H53-G53))))*24,"")-I53,"")</f>
        <v>9</v>
      </c>
      <c r="K53" s="73">
        <v>0</v>
      </c>
      <c r="L53" s="73"/>
      <c r="M53" s="73"/>
      <c r="N53" s="99">
        <v>0</v>
      </c>
    </row>
    <row r="54" spans="3:14">
      <c r="C54" s="70"/>
      <c r="D54" s="71"/>
      <c r="E54" s="71"/>
      <c r="F54" s="71"/>
      <c r="G54" s="72"/>
      <c r="H54" s="72"/>
      <c r="I54" s="73"/>
      <c r="J54" s="73"/>
      <c r="K54" s="73"/>
      <c r="L54" s="73"/>
      <c r="M54" s="73"/>
      <c r="N54" s="99"/>
    </row>
    <row r="55" spans="3:14">
      <c r="C55" s="66"/>
      <c r="D55" s="319"/>
      <c r="E55" s="66"/>
      <c r="F55" s="66"/>
      <c r="G55" s="66"/>
      <c r="H55" s="66"/>
      <c r="I55" s="66"/>
      <c r="J55" s="66"/>
      <c r="K55" s="66"/>
      <c r="L55" s="66"/>
      <c r="M55" s="66"/>
      <c r="N55" s="318">
        <f>SUM(N53:N54)</f>
        <v>0</v>
      </c>
    </row>
    <row r="56" spans="3:14">
      <c r="D56" s="326"/>
      <c r="N56" s="324"/>
    </row>
    <row r="57" spans="3:14">
      <c r="N57" s="138"/>
    </row>
    <row r="58" spans="3:14">
      <c r="C58" s="132" t="s">
        <v>190</v>
      </c>
      <c r="D58" s="132"/>
      <c r="L58" s="132" t="s">
        <v>340</v>
      </c>
      <c r="N58" s="138"/>
    </row>
    <row r="59" spans="3:14">
      <c r="N59" s="138"/>
    </row>
    <row r="60" spans="3:14">
      <c r="D60" s="591">
        <v>46255</v>
      </c>
      <c r="E60" s="591"/>
      <c r="F60" s="591"/>
      <c r="G60" s="88"/>
      <c r="H60" s="148" t="s">
        <v>280</v>
      </c>
      <c r="I60" s="254"/>
      <c r="L60" s="333">
        <v>45686</v>
      </c>
      <c r="M60" s="334" t="s">
        <v>341</v>
      </c>
      <c r="N60" s="138"/>
    </row>
    <row r="61" spans="3:14">
      <c r="E61" s="88"/>
      <c r="F61" s="88"/>
      <c r="G61" s="256">
        <f>G60*H61</f>
        <v>0</v>
      </c>
      <c r="H61" s="253">
        <v>0.3</v>
      </c>
      <c r="I61" s="254"/>
      <c r="L61" s="125"/>
      <c r="M61" s="326" t="s">
        <v>342</v>
      </c>
      <c r="N61" s="138"/>
    </row>
    <row r="62" spans="3:14">
      <c r="E62" s="91"/>
      <c r="F62" s="91"/>
      <c r="G62" s="91"/>
      <c r="L62" s="125"/>
      <c r="M62" s="335">
        <f>I50*2</f>
        <v>237.49999999999997</v>
      </c>
      <c r="N62" s="138"/>
    </row>
    <row r="63" spans="3:14">
      <c r="E63" s="91"/>
      <c r="F63" s="91"/>
      <c r="G63" s="91"/>
      <c r="H63" s="257">
        <f>G61</f>
        <v>0</v>
      </c>
      <c r="N63" s="138"/>
    </row>
    <row r="64" spans="3:14">
      <c r="N64" s="138"/>
    </row>
    <row r="65" spans="3:14">
      <c r="N65" s="138"/>
    </row>
    <row r="66" spans="3:14">
      <c r="N66" s="138"/>
    </row>
    <row r="67" spans="3:14">
      <c r="D67" s="132"/>
      <c r="E67" s="132"/>
      <c r="F67" s="132"/>
      <c r="G67" s="133"/>
      <c r="H67" s="133"/>
      <c r="I67" s="133"/>
    </row>
    <row r="68" spans="3:14">
      <c r="D68" s="132"/>
      <c r="E68" s="132"/>
      <c r="F68" s="132"/>
      <c r="G68" s="133"/>
      <c r="H68" s="133"/>
      <c r="I68" s="133"/>
    </row>
    <row r="69" spans="3:14">
      <c r="F69" s="132"/>
      <c r="G69" s="133"/>
      <c r="H69" s="133"/>
      <c r="I69" s="133"/>
    </row>
    <row r="70" spans="3:14">
      <c r="G70" s="606"/>
      <c r="H70" s="606"/>
    </row>
    <row r="73" spans="3:14">
      <c r="C73" s="91" t="s">
        <v>141</v>
      </c>
    </row>
    <row r="74" spans="3:14">
      <c r="C74" t="s">
        <v>66</v>
      </c>
    </row>
    <row r="75" spans="3:14">
      <c r="C75" s="91"/>
    </row>
  </sheetData>
  <mergeCells count="12">
    <mergeCell ref="G31:H31"/>
    <mergeCell ref="C6:D6"/>
    <mergeCell ref="M6:O6"/>
    <mergeCell ref="C7:D7"/>
    <mergeCell ref="M7:O7"/>
    <mergeCell ref="G70:H70"/>
    <mergeCell ref="G33:H33"/>
    <mergeCell ref="G35:H35"/>
    <mergeCell ref="G37:H37"/>
    <mergeCell ref="G38:H38"/>
    <mergeCell ref="B43:N43"/>
    <mergeCell ref="D60:F60"/>
  </mergeCells>
  <conditionalFormatting sqref="C16:D16">
    <cfRule type="expression" dxfId="151" priority="124">
      <formula>ISNUMBER(SEARCH(TEXT($C16,"ddd"),$G$11))</formula>
    </cfRule>
  </conditionalFormatting>
  <conditionalFormatting sqref="C53:D54">
    <cfRule type="expression" dxfId="150" priority="13">
      <formula>ISNUMBER(SEARCH(TEXT($C53,"ddd"),$G$11))</formula>
    </cfRule>
  </conditionalFormatting>
  <conditionalFormatting sqref="E16:F30">
    <cfRule type="expression" dxfId="149" priority="1">
      <formula>ISNUMBER(SEARCH(TEXT($C16,"ddd"),$G$11))</formula>
    </cfRule>
  </conditionalFormatting>
  <conditionalFormatting sqref="G16:G17 C17:D30 G19">
    <cfRule type="expression" dxfId="148" priority="128">
      <formula>ISNUMBER(SEARCH(TEXT($C16,"ddd"),$G$10))</formula>
    </cfRule>
  </conditionalFormatting>
  <conditionalFormatting sqref="G18">
    <cfRule type="expression" dxfId="147" priority="94">
      <formula>ISNUMBER(SEARCH(TEXT($C18,"ddd"),$G$11))</formula>
    </cfRule>
  </conditionalFormatting>
  <conditionalFormatting sqref="G21:G24">
    <cfRule type="expression" dxfId="146" priority="129">
      <formula>ISNUMBER(SEARCH(TEXT($C21,"ddd"),$G$10))</formula>
    </cfRule>
  </conditionalFormatting>
  <conditionalFormatting sqref="G25:G27">
    <cfRule type="expression" dxfId="145" priority="83">
      <formula>ISNUMBER(SEARCH(TEXT($C25,"ddd"),$G$11))</formula>
    </cfRule>
  </conditionalFormatting>
  <conditionalFormatting sqref="G28 E53:F54 L53:N54">
    <cfRule type="expression" dxfId="144" priority="130">
      <formula>ISNUMBER(SEARCH(TEXT($C28,"ddd"),$G$10))</formula>
    </cfRule>
  </conditionalFormatting>
  <conditionalFormatting sqref="G53:I54">
    <cfRule type="expression" dxfId="143" priority="12">
      <formula>ISNUMBER(SEARCH(TEXT($C53,"ddd"),$G$11))</formula>
    </cfRule>
  </conditionalFormatting>
  <conditionalFormatting sqref="H16:I28 G29:I30">
    <cfRule type="expression" dxfId="142" priority="2">
      <formula>ISNUMBER(SEARCH(TEXT($C16,"ddd"),$G$11))</formula>
    </cfRule>
  </conditionalFormatting>
  <conditionalFormatting sqref="J28:J30">
    <cfRule type="expression" dxfId="141" priority="180">
      <formula>ISNUMBER(SEARCH(TEXT($C28,"ddd"),$G$10))</formula>
    </cfRule>
  </conditionalFormatting>
  <conditionalFormatting sqref="J53">
    <cfRule type="expression" dxfId="140" priority="11">
      <formula>ISNUMBER(SEARCH(TEXT($C53,"ddd"),$G$10))</formula>
    </cfRule>
  </conditionalFormatting>
  <conditionalFormatting sqref="J16:K27 K28">
    <cfRule type="expression" dxfId="139" priority="172">
      <formula>ISNUMBER(SEARCH(TEXT($C16,"ddd"),$G$10))</formula>
    </cfRule>
  </conditionalFormatting>
  <conditionalFormatting sqref="J54:K54">
    <cfRule type="expression" dxfId="138" priority="17">
      <formula>ISNUMBER(SEARCH(TEXT($C54,"ddd"),$G$11))</formula>
    </cfRule>
  </conditionalFormatting>
  <conditionalFormatting sqref="K53">
    <cfRule type="expression" dxfId="137" priority="19">
      <formula>ISNUMBER(SEARCH(TEXT($C53,"ddd"),$G$11))</formula>
    </cfRule>
  </conditionalFormatting>
  <conditionalFormatting sqref="K29:L30">
    <cfRule type="expression" dxfId="136" priority="42">
      <formula>ISNUMBER(SEARCH(TEXT($C29,"ddd"),$G$11))</formula>
    </cfRule>
  </conditionalFormatting>
  <conditionalFormatting sqref="N16:N30 G20">
    <cfRule type="expression" dxfId="135" priority="142">
      <formula>ISNUMBER(SEARCH(TEXT($C16,"ddd"),$G$11))</formula>
    </cfRule>
  </conditionalFormatting>
  <dataValidations count="5">
    <dataValidation type="list" allowBlank="1" showInputMessage="1" showErrorMessage="1" sqref="D10 H47" xr:uid="{00000000-0002-0000-2400-000000000000}">
      <formula1>DateCalc</formula1>
    </dataValidation>
    <dataValidation type="custom" allowBlank="1" showInputMessage="1" showErrorMessage="1" sqref="H53:H54 H16:H30" xr:uid="{00000000-0002-0000-2400-000001000000}">
      <formula1>AND($H16&lt;=1,ISNUMBER($H16),($H16&gt;=$G16))</formula1>
    </dataValidation>
    <dataValidation type="custom" allowBlank="1" showInputMessage="1" showErrorMessage="1" sqref="G53:G54 E16:G30" xr:uid="{00000000-0002-0000-2400-000002000000}">
      <formula1>AND($G16&lt;=1,ISNUMBER($G16))</formula1>
    </dataValidation>
    <dataValidation type="list" allowBlank="1" showInputMessage="1" showErrorMessage="1" sqref="E10:F10" xr:uid="{00000000-0002-0000-2400-000003000000}">
      <formula1>EDON!DateCalc</formula1>
    </dataValidation>
    <dataValidation type="list" allowBlank="1" showInputMessage="1" showErrorMessage="1" sqref="G10" xr:uid="{00000000-0002-0000-2400-000006000000}"/>
  </dataValidations>
  <pageMargins left="1.07083333333333" right="0.25" top="0.359722222222222" bottom="0.39791666666666697" header="0.29861111111111099" footer="0.29861111111111099"/>
  <pageSetup paperSize="9" scale="91" orientation="landscape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21537" r:id="rId4" name="Check Box 1">
              <controlPr defaultSize="0" print="0" autoPict="0">
                <anchor moveWithCells="1">
                  <from>
                    <xdr:col>7</xdr:col>
                    <xdr:colOff>180975</xdr:colOff>
                    <xdr:row>8</xdr:row>
                    <xdr:rowOff>28575</xdr:rowOff>
                  </from>
                  <to>
                    <xdr:col>8</xdr:col>
                    <xdr:colOff>571500</xdr:colOff>
                    <xdr:row>10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2400-000004000000}">
          <x14:formula1>
            <xm:f>Data!$A$2:$A$15</xm:f>
          </x14:formula1>
          <xm:sqref>B10 D47:F47</xm:sqref>
        </x14:dataValidation>
        <x14:dataValidation type="list" allowBlank="1" showInputMessage="1" showErrorMessage="1" xr:uid="{00000000-0002-0000-2400-000005000000}">
          <x14:formula1>
            <xm:f>Data!$B$2:$B$13</xm:f>
          </x14:formula1>
          <xm:sqref>C10 G47</xm:sqref>
        </x14:dataValidation>
        <x14:dataValidation type="list" allowBlank="1" showInputMessage="1" showErrorMessage="1" xr:uid="{00000000-0002-0000-2400-000007000000}">
          <x14:formula1>
            <xm:f>Data!$D$2:$D$16</xm:f>
          </x14:formula1>
          <xm:sqref>I47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5:AH84"/>
  <sheetViews>
    <sheetView showGridLines="0" view="pageLayout" topLeftCell="A22" zoomScale="98" zoomScaleNormal="100" zoomScalePageLayoutView="98" workbookViewId="0">
      <selection activeCell="H15" sqref="H15"/>
    </sheetView>
  </sheetViews>
  <sheetFormatPr defaultColWidth="9" defaultRowHeight="12.75"/>
  <cols>
    <col min="1" max="1" width="1.625" customWidth="1"/>
    <col min="2" max="2" width="5.375" customWidth="1"/>
    <col min="3" max="3" width="7.125" customWidth="1"/>
    <col min="4" max="6" width="7.625" customWidth="1"/>
    <col min="7" max="7" width="10.125" customWidth="1"/>
    <col min="8" max="8" width="9.625" customWidth="1"/>
    <col min="9" max="9" width="8.125" customWidth="1"/>
    <col min="10" max="10" width="10.125" customWidth="1"/>
    <col min="11" max="11" width="7.875" customWidth="1"/>
    <col min="12" max="12" width="10.125" customWidth="1"/>
    <col min="13" max="13" width="10.375" customWidth="1"/>
    <col min="14" max="14" width="13.5" customWidth="1"/>
    <col min="15" max="15" width="16.875" customWidth="1"/>
    <col min="18" max="18" width="11.125" customWidth="1"/>
  </cols>
  <sheetData>
    <row r="5" spans="1:15" ht="25.5" customHeight="1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15" s="47" customFormat="1" ht="25.5" customHeight="1">
      <c r="A6" s="603"/>
      <c r="B6" s="603"/>
      <c r="C6" s="603"/>
      <c r="D6" s="603"/>
      <c r="E6" s="603"/>
      <c r="F6" s="603"/>
      <c r="G6" s="603"/>
      <c r="H6" s="603"/>
      <c r="I6" s="603"/>
      <c r="J6" s="603"/>
      <c r="K6" s="603"/>
      <c r="L6" s="603"/>
      <c r="M6" s="603"/>
      <c r="N6" s="603"/>
    </row>
    <row r="7" spans="1:15" ht="18.75" customHeight="1">
      <c r="C7" s="527" t="s">
        <v>3</v>
      </c>
      <c r="D7" s="527"/>
      <c r="E7" s="49"/>
      <c r="F7" s="49"/>
      <c r="G7" s="50" t="s">
        <v>336</v>
      </c>
      <c r="H7" s="51"/>
      <c r="K7" s="49" t="s">
        <v>174</v>
      </c>
      <c r="M7" s="599" t="str">
        <f>PAALAN!L7</f>
        <v>September  11-25, 2026</v>
      </c>
      <c r="N7" s="599"/>
      <c r="O7" s="599"/>
    </row>
    <row r="8" spans="1:15" ht="18.75" customHeight="1">
      <c r="C8" s="527" t="s">
        <v>175</v>
      </c>
      <c r="D8" s="527"/>
      <c r="E8" s="49"/>
      <c r="F8" s="49"/>
      <c r="G8" s="50" t="s">
        <v>75</v>
      </c>
      <c r="H8" s="51"/>
      <c r="K8" s="49" t="s">
        <v>176</v>
      </c>
      <c r="L8" s="92"/>
      <c r="M8" s="600" t="str">
        <f>PAALAN!L8</f>
        <v>9/31/2026</v>
      </c>
      <c r="N8" s="600"/>
      <c r="O8" s="600"/>
    </row>
    <row r="9" spans="1:15">
      <c r="C9" s="52"/>
      <c r="D9" s="53"/>
      <c r="E9" s="53"/>
      <c r="F9" s="53"/>
      <c r="G9" s="53"/>
    </row>
    <row r="10" spans="1:15">
      <c r="B10" s="54" t="s">
        <v>10</v>
      </c>
      <c r="C10" s="54" t="s">
        <v>11</v>
      </c>
      <c r="D10" s="54" t="s">
        <v>12</v>
      </c>
      <c r="E10" s="54"/>
      <c r="F10" s="54"/>
      <c r="G10" s="55" t="s">
        <v>13</v>
      </c>
    </row>
    <row r="11" spans="1:15">
      <c r="B11" s="56">
        <v>2026</v>
      </c>
      <c r="C11" s="56" t="s">
        <v>214</v>
      </c>
      <c r="D11" s="56">
        <v>11</v>
      </c>
      <c r="E11" s="56"/>
      <c r="F11" s="56"/>
      <c r="G11" s="56" t="s">
        <v>178</v>
      </c>
    </row>
    <row r="12" spans="1:15">
      <c r="B12" s="57"/>
      <c r="C12" s="57"/>
      <c r="H12" s="57"/>
      <c r="K12" s="57"/>
      <c r="L12" s="57"/>
      <c r="M12" s="57"/>
    </row>
    <row r="13" spans="1:15" ht="32.1" customHeight="1">
      <c r="B13" s="159" t="s">
        <v>16</v>
      </c>
      <c r="C13" s="159" t="s">
        <v>17</v>
      </c>
      <c r="D13" s="159" t="s">
        <v>18</v>
      </c>
      <c r="E13" s="160"/>
      <c r="F13" s="160"/>
      <c r="G13" s="160" t="s">
        <v>19</v>
      </c>
      <c r="H13" s="161" t="s">
        <v>179</v>
      </c>
      <c r="L13" s="93"/>
      <c r="M13" s="93">
        <v>0</v>
      </c>
      <c r="N13" s="94"/>
    </row>
    <row r="14" spans="1:15">
      <c r="B14" s="61">
        <v>0.33333333333333331</v>
      </c>
      <c r="C14" s="62">
        <v>10</v>
      </c>
      <c r="D14" s="63">
        <f>(13000/26)/8</f>
        <v>62.5</v>
      </c>
      <c r="E14" s="142"/>
      <c r="F14" s="142"/>
      <c r="G14" s="64">
        <f>(D14*25%)+D14</f>
        <v>78.125</v>
      </c>
      <c r="H14" s="65">
        <v>105</v>
      </c>
      <c r="I14" s="95"/>
      <c r="L14" s="57"/>
      <c r="M14" s="57"/>
      <c r="N14" s="95"/>
    </row>
    <row r="15" spans="1:15">
      <c r="H15" s="434">
        <f>N34</f>
        <v>0</v>
      </c>
      <c r="N15" s="96"/>
    </row>
    <row r="16" spans="1:15" ht="23.25">
      <c r="B16" s="66"/>
      <c r="C16" s="67" t="s">
        <v>20</v>
      </c>
      <c r="D16" s="67" t="s">
        <v>12</v>
      </c>
      <c r="E16" s="67"/>
      <c r="F16" s="67"/>
      <c r="G16" s="67" t="s">
        <v>21</v>
      </c>
      <c r="H16" s="67" t="s">
        <v>22</v>
      </c>
      <c r="I16" s="68" t="s">
        <v>23</v>
      </c>
      <c r="J16" s="68" t="s">
        <v>24</v>
      </c>
      <c r="K16" s="68" t="s">
        <v>25</v>
      </c>
      <c r="L16" s="67" t="s">
        <v>180</v>
      </c>
      <c r="M16" s="134" t="s">
        <v>181</v>
      </c>
      <c r="N16" s="67" t="s">
        <v>26</v>
      </c>
    </row>
    <row r="17" spans="2:34">
      <c r="B17" s="69">
        <v>1</v>
      </c>
      <c r="C17" s="70">
        <f>DATE($B$11,MATCH($C$11,Data!$B$2:$B$13,0),COROSO!$D$11)</f>
        <v>46214</v>
      </c>
      <c r="D17" s="71">
        <f>DATE($B$11,MATCH($C$11,Data!$B$2:$B$13,0),COROSO!$D$11)</f>
        <v>46214</v>
      </c>
      <c r="E17" s="72">
        <v>0.375</v>
      </c>
      <c r="F17" s="72">
        <v>0</v>
      </c>
      <c r="G17" s="72">
        <f t="shared" ref="G17:G29" si="0">E17-F17</f>
        <v>0.375</v>
      </c>
      <c r="H17" s="72">
        <v>0.5</v>
      </c>
      <c r="I17" s="73">
        <v>0</v>
      </c>
      <c r="J17" s="73">
        <f t="shared" ref="J17:J31" si="1">IFERROR(IF(AND(G17&lt;&gt;"",H17&lt;&gt;""),IF(G17&gt;$B$14+TIME($C$14,($C$14-INT($C$14))*60,0),0,IF(H17&gt;$B$14+TIME($C$14,($C$14-INT($C$14))*60,0),MIN(TIME($C$14,($C$14-INT($C$14))*60,0),($B$14+TIME($C$14,($C$14-INT($C$14))*60,0)-G17)),MIN(IF((H17-$B$14)&lt;0,0,(H17-$B$14)),(H17-G17))))*24,"")-I17,"")</f>
        <v>3</v>
      </c>
      <c r="K17" s="73">
        <f t="shared" ref="K17:K29" si="2">IF(AND(G17&lt;&gt;"",H17&lt;&gt;""),((IF(G17&lt;$B$14,MIN($B$14-G17,H17-G17),0)+IF(H17&gt;$B$14+TIME($C$14,($C$14-INT($C$14))*60,0),MIN((H17-$B$14-TIME($C$14,($C$14-INT($C$14))*60,0)),(H17-G17)),0))*24),"")</f>
        <v>0</v>
      </c>
      <c r="L17" s="110">
        <v>0</v>
      </c>
      <c r="M17" s="102">
        <f>(D14/60)*0</f>
        <v>0</v>
      </c>
      <c r="N17" s="111">
        <f>IFERROR(J17*IF(AND(ISNUMBER(SEARCH(TEXT(C17,"ddd"),$G$11)),Data!$F$2),$G$14,$D$14)+K17*$G$14,"")</f>
        <v>187.5</v>
      </c>
      <c r="O17" s="141">
        <f t="shared" ref="O17:O31" si="3">M17+N17</f>
        <v>187.5</v>
      </c>
      <c r="P17" s="100"/>
      <c r="Q17" s="89"/>
    </row>
    <row r="18" spans="2:34">
      <c r="B18" s="69">
        <v>2</v>
      </c>
      <c r="C18" s="70">
        <f t="shared" ref="C18:D31" si="4">C17+1</f>
        <v>46215</v>
      </c>
      <c r="D18" s="71">
        <f t="shared" si="4"/>
        <v>46215</v>
      </c>
      <c r="E18" s="72">
        <v>0</v>
      </c>
      <c r="F18" s="72">
        <v>0</v>
      </c>
      <c r="G18" s="72">
        <f t="shared" si="0"/>
        <v>0</v>
      </c>
      <c r="H18" s="72">
        <v>0</v>
      </c>
      <c r="I18" s="73">
        <v>0</v>
      </c>
      <c r="J18" s="73">
        <f t="shared" si="1"/>
        <v>0</v>
      </c>
      <c r="K18" s="73">
        <f t="shared" si="2"/>
        <v>0</v>
      </c>
      <c r="L18" s="110">
        <v>0</v>
      </c>
      <c r="M18" s="98">
        <f>(D14/60)*0</f>
        <v>0</v>
      </c>
      <c r="N18" s="111">
        <f>IFERROR(J18*IF(AND(ISNUMBER(SEARCH(TEXT(C18,"ddd"),$G$11)),Data!$F$2),$G$14,$D$14)+K18*$G$14,"")</f>
        <v>0</v>
      </c>
      <c r="O18" s="141">
        <f t="shared" si="3"/>
        <v>0</v>
      </c>
      <c r="P18" s="89"/>
      <c r="Q18" s="89"/>
    </row>
    <row r="19" spans="2:34">
      <c r="B19" s="69">
        <v>3</v>
      </c>
      <c r="C19" s="70">
        <f t="shared" si="4"/>
        <v>46216</v>
      </c>
      <c r="D19" s="71">
        <f t="shared" si="4"/>
        <v>46216</v>
      </c>
      <c r="E19" s="72">
        <v>0.33333333333333331</v>
      </c>
      <c r="F19" s="72">
        <v>0</v>
      </c>
      <c r="G19" s="72">
        <f t="shared" si="0"/>
        <v>0.33333333333333331</v>
      </c>
      <c r="H19" s="72">
        <v>0.75</v>
      </c>
      <c r="I19" s="73">
        <v>1</v>
      </c>
      <c r="J19" s="73">
        <f t="shared" si="1"/>
        <v>9</v>
      </c>
      <c r="K19" s="73">
        <f t="shared" si="2"/>
        <v>0</v>
      </c>
      <c r="L19" s="110">
        <f>E19-B14</f>
        <v>0</v>
      </c>
      <c r="M19" s="102">
        <f>(D14/60)*0</f>
        <v>0</v>
      </c>
      <c r="N19" s="111">
        <f>IFERROR(J19*IF(AND(ISNUMBER(SEARCH(TEXT(C19,"ddd"),$G$11)),Data!$F$2),$G$14,$D$14)+K19*$G$14,"")</f>
        <v>562.5</v>
      </c>
      <c r="O19" s="141">
        <f t="shared" si="3"/>
        <v>562.5</v>
      </c>
      <c r="P19" s="100"/>
      <c r="Q19" s="104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</row>
    <row r="20" spans="2:34">
      <c r="B20" s="69"/>
      <c r="C20" s="70">
        <f t="shared" si="4"/>
        <v>46217</v>
      </c>
      <c r="D20" s="71">
        <f t="shared" si="4"/>
        <v>46217</v>
      </c>
      <c r="E20" s="72">
        <v>0.33333333333333331</v>
      </c>
      <c r="F20" s="72">
        <v>0</v>
      </c>
      <c r="G20" s="72">
        <f t="shared" si="0"/>
        <v>0.33333333333333331</v>
      </c>
      <c r="H20" s="72">
        <v>0.75</v>
      </c>
      <c r="I20" s="73">
        <v>1</v>
      </c>
      <c r="J20" s="73">
        <f t="shared" si="1"/>
        <v>9</v>
      </c>
      <c r="K20" s="73">
        <f t="shared" si="2"/>
        <v>0</v>
      </c>
      <c r="L20" s="110">
        <f>E20-B14</f>
        <v>0</v>
      </c>
      <c r="M20" s="423">
        <f>(D14/60)*0</f>
        <v>0</v>
      </c>
      <c r="N20" s="427">
        <f>IFERROR(J20*IF(AND(ISNUMBER(SEARCH(TEXT(C20,"ddd"),$G$11)),Data!$F$2),$G$14,$D$14)+K20*$G$14,"")</f>
        <v>562.5</v>
      </c>
      <c r="O20" s="141">
        <f t="shared" si="3"/>
        <v>562.5</v>
      </c>
      <c r="P20" s="103"/>
      <c r="Q20" s="103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28"/>
    </row>
    <row r="21" spans="2:34">
      <c r="B21" s="69">
        <v>4</v>
      </c>
      <c r="C21" s="70">
        <f t="shared" si="4"/>
        <v>46218</v>
      </c>
      <c r="D21" s="71">
        <f t="shared" si="4"/>
        <v>46218</v>
      </c>
      <c r="E21" s="72">
        <v>0.33333333333333331</v>
      </c>
      <c r="F21" s="72">
        <v>0</v>
      </c>
      <c r="G21" s="72">
        <f t="shared" si="0"/>
        <v>0.33333333333333331</v>
      </c>
      <c r="H21" s="72">
        <v>0.75</v>
      </c>
      <c r="I21" s="73">
        <v>1</v>
      </c>
      <c r="J21" s="73">
        <f t="shared" si="1"/>
        <v>9</v>
      </c>
      <c r="K21" s="73">
        <f t="shared" si="2"/>
        <v>0</v>
      </c>
      <c r="L21" s="110">
        <f>E21-B14</f>
        <v>0</v>
      </c>
      <c r="M21" s="102">
        <f>(D14/60)*0</f>
        <v>0</v>
      </c>
      <c r="N21" s="111">
        <f>IFERROR(J21*IF(AND(ISNUMBER(SEARCH(TEXT(C21,"ddd"),$G$11)),Data!$F$2),$G$14,$D$14)+K21*$G$14,"")</f>
        <v>562.5</v>
      </c>
      <c r="O21" s="141">
        <f t="shared" si="3"/>
        <v>562.5</v>
      </c>
      <c r="P21" s="162"/>
      <c r="Q21" s="108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4"/>
    </row>
    <row r="22" spans="2:34">
      <c r="B22" s="69">
        <v>5</v>
      </c>
      <c r="C22" s="70">
        <f t="shared" si="4"/>
        <v>46219</v>
      </c>
      <c r="D22" s="71">
        <f t="shared" si="4"/>
        <v>46219</v>
      </c>
      <c r="E22" s="72">
        <v>0.33333333333333331</v>
      </c>
      <c r="F22" s="72">
        <v>0</v>
      </c>
      <c r="G22" s="72">
        <f t="shared" si="0"/>
        <v>0.33333333333333331</v>
      </c>
      <c r="H22" s="72">
        <v>0.75</v>
      </c>
      <c r="I22" s="73">
        <v>1</v>
      </c>
      <c r="J22" s="73">
        <f t="shared" si="1"/>
        <v>9</v>
      </c>
      <c r="K22" s="73">
        <f t="shared" si="2"/>
        <v>0</v>
      </c>
      <c r="L22" s="110">
        <f>G22-B14</f>
        <v>0</v>
      </c>
      <c r="M22" s="102">
        <f>(D14/60)*0</f>
        <v>0</v>
      </c>
      <c r="N22" s="111">
        <f>IFERROR(J22*IF(AND(ISNUMBER(SEARCH(TEXT(C22,"ddd"),$G$11)),Data!$F$2),$G$14,$D$14)+K22*$G$14,"")</f>
        <v>562.5</v>
      </c>
      <c r="O22" s="141">
        <f t="shared" si="3"/>
        <v>562.5</v>
      </c>
      <c r="P22" s="163">
        <f>O21-O22</f>
        <v>0</v>
      </c>
      <c r="Q22" s="135"/>
      <c r="R22" s="96">
        <v>0.40486111111111101</v>
      </c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4"/>
    </row>
    <row r="23" spans="2:34">
      <c r="B23" s="69">
        <v>6</v>
      </c>
      <c r="C23" s="70">
        <f t="shared" si="4"/>
        <v>46220</v>
      </c>
      <c r="D23" s="71">
        <f t="shared" si="4"/>
        <v>46220</v>
      </c>
      <c r="E23" s="72">
        <v>0.33333333333333331</v>
      </c>
      <c r="F23" s="72">
        <v>0</v>
      </c>
      <c r="G23" s="72">
        <f t="shared" si="0"/>
        <v>0.33333333333333331</v>
      </c>
      <c r="H23" s="72">
        <v>0.75</v>
      </c>
      <c r="I23" s="73">
        <v>1</v>
      </c>
      <c r="J23" s="73">
        <f t="shared" si="1"/>
        <v>9</v>
      </c>
      <c r="K23" s="73">
        <f t="shared" si="2"/>
        <v>0</v>
      </c>
      <c r="L23" s="110">
        <f>G23-B14</f>
        <v>0</v>
      </c>
      <c r="M23" s="102">
        <f>(D14/60)*0</f>
        <v>0</v>
      </c>
      <c r="N23" s="111">
        <f>IFERROR(J23*IF(AND(ISNUMBER(SEARCH(TEXT(C23,"ddd"),$G$11)),Data!$F$2),$G$14,$D$14)+K23*$G$14,"")</f>
        <v>562.5</v>
      </c>
      <c r="O23" s="141">
        <f t="shared" si="3"/>
        <v>562.5</v>
      </c>
      <c r="P23" s="150"/>
      <c r="Q23" s="89"/>
      <c r="R23" s="96">
        <v>1.0416666666666701E-2</v>
      </c>
    </row>
    <row r="24" spans="2:34">
      <c r="B24" s="69">
        <v>7</v>
      </c>
      <c r="C24" s="70">
        <f t="shared" si="4"/>
        <v>46221</v>
      </c>
      <c r="D24" s="71">
        <f t="shared" si="4"/>
        <v>46221</v>
      </c>
      <c r="E24" s="72">
        <v>0.375</v>
      </c>
      <c r="F24" s="72">
        <v>0</v>
      </c>
      <c r="G24" s="72">
        <f t="shared" si="0"/>
        <v>0.375</v>
      </c>
      <c r="H24" s="72">
        <v>0.5</v>
      </c>
      <c r="I24" s="73">
        <v>0</v>
      </c>
      <c r="J24" s="73">
        <f t="shared" si="1"/>
        <v>3</v>
      </c>
      <c r="K24" s="73">
        <f t="shared" si="2"/>
        <v>0</v>
      </c>
      <c r="L24" s="110">
        <v>0</v>
      </c>
      <c r="M24" s="102">
        <f>(D14/60)*0</f>
        <v>0</v>
      </c>
      <c r="N24" s="111">
        <f>IFERROR(J24*IF(AND(ISNUMBER(SEARCH(TEXT(C24,"ddd"),$G$11)),Data!$F$2),$G$14,$D$14)+K24*$G$14,"")</f>
        <v>187.5</v>
      </c>
      <c r="O24" s="141">
        <f t="shared" si="3"/>
        <v>187.5</v>
      </c>
      <c r="P24" s="155"/>
      <c r="Q24" s="89"/>
      <c r="R24" s="129">
        <f>R22-R23</f>
        <v>0.39444444444444432</v>
      </c>
    </row>
    <row r="25" spans="2:34">
      <c r="B25" s="69">
        <v>8</v>
      </c>
      <c r="C25" s="70">
        <f t="shared" si="4"/>
        <v>46222</v>
      </c>
      <c r="D25" s="71">
        <f t="shared" si="4"/>
        <v>46222</v>
      </c>
      <c r="E25" s="72">
        <v>0</v>
      </c>
      <c r="F25" s="72">
        <v>0</v>
      </c>
      <c r="G25" s="72">
        <f t="shared" si="0"/>
        <v>0</v>
      </c>
      <c r="H25" s="72">
        <v>0</v>
      </c>
      <c r="I25" s="73">
        <v>0</v>
      </c>
      <c r="J25" s="73">
        <f t="shared" si="1"/>
        <v>0</v>
      </c>
      <c r="K25" s="73">
        <f t="shared" si="2"/>
        <v>0</v>
      </c>
      <c r="L25" s="110">
        <v>0</v>
      </c>
      <c r="M25" s="98">
        <f>(D14/60)*0</f>
        <v>0</v>
      </c>
      <c r="N25" s="111">
        <f>IFERROR(J25*IF(AND(ISNUMBER(SEARCH(TEXT(C25,"ddd"),$G$11)),Data!$F$2),$G$14,$D$14)+K25*$G$14,"")</f>
        <v>0</v>
      </c>
      <c r="O25" s="141">
        <f t="shared" si="3"/>
        <v>0</v>
      </c>
      <c r="P25" s="89"/>
      <c r="Q25" s="89"/>
    </row>
    <row r="26" spans="2:34">
      <c r="B26" s="69">
        <v>9</v>
      </c>
      <c r="C26" s="70">
        <f t="shared" si="4"/>
        <v>46223</v>
      </c>
      <c r="D26" s="71">
        <f t="shared" si="4"/>
        <v>46223</v>
      </c>
      <c r="E26" s="72">
        <v>0.33333333333333331</v>
      </c>
      <c r="F26" s="72">
        <v>0</v>
      </c>
      <c r="G26" s="72">
        <f t="shared" si="0"/>
        <v>0.33333333333333331</v>
      </c>
      <c r="H26" s="72">
        <v>0.75</v>
      </c>
      <c r="I26" s="73">
        <v>1</v>
      </c>
      <c r="J26" s="73">
        <f t="shared" si="1"/>
        <v>9</v>
      </c>
      <c r="K26" s="73">
        <f t="shared" si="2"/>
        <v>0</v>
      </c>
      <c r="L26" s="110">
        <f>E26-B14</f>
        <v>0</v>
      </c>
      <c r="M26" s="102">
        <f>(D14/60)*0</f>
        <v>0</v>
      </c>
      <c r="N26" s="99">
        <f>IFERROR(J26*IF(AND(ISNUMBER(SEARCH(TEXT(C26,"ddd"),$G$11)),Data!$F$2),$G$14,$D$14)+K26*$G$14,"")</f>
        <v>562.5</v>
      </c>
      <c r="O26" s="141">
        <f t="shared" si="3"/>
        <v>562.5</v>
      </c>
      <c r="P26" s="89"/>
      <c r="Q26" s="89"/>
    </row>
    <row r="27" spans="2:34">
      <c r="B27" s="69"/>
      <c r="C27" s="70">
        <f t="shared" si="4"/>
        <v>46224</v>
      </c>
      <c r="D27" s="71">
        <f t="shared" si="4"/>
        <v>46224</v>
      </c>
      <c r="E27" s="72">
        <v>0.33333333333333331</v>
      </c>
      <c r="F27" s="72">
        <v>0</v>
      </c>
      <c r="G27" s="72">
        <f t="shared" si="0"/>
        <v>0.33333333333333331</v>
      </c>
      <c r="H27" s="72">
        <v>0.75</v>
      </c>
      <c r="I27" s="73">
        <v>1</v>
      </c>
      <c r="J27" s="73">
        <f t="shared" si="1"/>
        <v>9</v>
      </c>
      <c r="K27" s="73">
        <f t="shared" si="2"/>
        <v>0</v>
      </c>
      <c r="L27" s="110">
        <f>E27-B14</f>
        <v>0</v>
      </c>
      <c r="M27" s="423">
        <f>(D14/60)*0</f>
        <v>0</v>
      </c>
      <c r="N27" s="427">
        <f>IFERROR(J27*IF(AND(ISNUMBER(SEARCH(TEXT(C27,"ddd"),$G$11)),Data!$F$2),$G$14,$D$14)+K27*$G$14,"")</f>
        <v>562.5</v>
      </c>
      <c r="O27" s="141">
        <f t="shared" si="3"/>
        <v>562.5</v>
      </c>
      <c r="P27" s="127"/>
      <c r="Q27" s="89"/>
    </row>
    <row r="28" spans="2:34">
      <c r="B28" s="69">
        <v>10</v>
      </c>
      <c r="C28" s="70">
        <f t="shared" si="4"/>
        <v>46225</v>
      </c>
      <c r="D28" s="71">
        <f t="shared" si="4"/>
        <v>46225</v>
      </c>
      <c r="E28" s="72">
        <v>0.33333333333333331</v>
      </c>
      <c r="F28" s="72">
        <v>0</v>
      </c>
      <c r="G28" s="72">
        <f t="shared" si="0"/>
        <v>0.33333333333333331</v>
      </c>
      <c r="H28" s="72">
        <v>0.75</v>
      </c>
      <c r="I28" s="73">
        <v>1</v>
      </c>
      <c r="J28" s="73">
        <f t="shared" si="1"/>
        <v>9</v>
      </c>
      <c r="K28" s="73">
        <f t="shared" si="2"/>
        <v>0</v>
      </c>
      <c r="L28" s="110">
        <f>G28-B14</f>
        <v>0</v>
      </c>
      <c r="M28" s="102">
        <f>(D14/60)*0</f>
        <v>0</v>
      </c>
      <c r="N28" s="111">
        <f>IFERROR(J28*IF(AND(ISNUMBER(SEARCH(TEXT(C28,"ddd"),$G$11)),Data!$F$2),$G$14,$D$14)+K28*$G$14,"")</f>
        <v>562.5</v>
      </c>
      <c r="O28" s="141">
        <f t="shared" si="3"/>
        <v>562.5</v>
      </c>
      <c r="Q28" s="89"/>
    </row>
    <row r="29" spans="2:34">
      <c r="B29" s="69">
        <v>11</v>
      </c>
      <c r="C29" s="70">
        <f t="shared" si="4"/>
        <v>46226</v>
      </c>
      <c r="D29" s="71">
        <f t="shared" si="4"/>
        <v>46226</v>
      </c>
      <c r="E29" s="72">
        <v>0.33333333333333331</v>
      </c>
      <c r="F29" s="72">
        <v>0</v>
      </c>
      <c r="G29" s="72">
        <f t="shared" si="0"/>
        <v>0.33333333333333331</v>
      </c>
      <c r="H29" s="72">
        <v>0.75</v>
      </c>
      <c r="I29" s="73">
        <v>1</v>
      </c>
      <c r="J29" s="73">
        <f t="shared" si="1"/>
        <v>9</v>
      </c>
      <c r="K29" s="73">
        <f t="shared" si="2"/>
        <v>0</v>
      </c>
      <c r="L29" s="110">
        <f>E29-B14</f>
        <v>0</v>
      </c>
      <c r="M29" s="102">
        <f>(D14/60)*0</f>
        <v>0</v>
      </c>
      <c r="N29" s="111">
        <f>IFERROR(J29*IF(AND(ISNUMBER(SEARCH(TEXT(C29,"ddd"),$G$11)),Data!$F$2),$G$14,$D$14)+K29*$G$14,"")</f>
        <v>562.5</v>
      </c>
      <c r="O29" s="141">
        <f t="shared" si="3"/>
        <v>562.5</v>
      </c>
      <c r="P29" s="95">
        <f>O28-O29</f>
        <v>0</v>
      </c>
      <c r="Q29" s="89"/>
    </row>
    <row r="30" spans="2:34">
      <c r="B30" s="69">
        <v>12</v>
      </c>
      <c r="C30" s="70">
        <f t="shared" si="4"/>
        <v>46227</v>
      </c>
      <c r="D30" s="71">
        <f t="shared" si="4"/>
        <v>46227</v>
      </c>
      <c r="E30" s="72">
        <v>0.33333333333333331</v>
      </c>
      <c r="F30" s="72">
        <v>0</v>
      </c>
      <c r="G30" s="72">
        <f>E30-F30</f>
        <v>0.33333333333333331</v>
      </c>
      <c r="H30" s="72">
        <v>0.75</v>
      </c>
      <c r="I30" s="73">
        <v>1</v>
      </c>
      <c r="J30" s="73">
        <f t="shared" si="1"/>
        <v>9</v>
      </c>
      <c r="K30" s="73">
        <v>0</v>
      </c>
      <c r="L30" s="110">
        <f>G30-B14</f>
        <v>0</v>
      </c>
      <c r="M30" s="102">
        <f>(D14/60)*0</f>
        <v>0</v>
      </c>
      <c r="N30" s="111">
        <f>IFERROR(J30*IF(AND(ISNUMBER(SEARCH(TEXT(C30,"ddd"),$G$11)),Data!$F$2),$G$14,$D$14)+K30*$G$14,"")</f>
        <v>562.5</v>
      </c>
      <c r="O30" s="141">
        <f t="shared" si="3"/>
        <v>562.5</v>
      </c>
      <c r="P30" s="127"/>
      <c r="Q30" s="89"/>
    </row>
    <row r="31" spans="2:34">
      <c r="B31" s="69">
        <v>13</v>
      </c>
      <c r="C31" s="70">
        <f t="shared" si="4"/>
        <v>46228</v>
      </c>
      <c r="D31" s="71">
        <f t="shared" si="4"/>
        <v>46228</v>
      </c>
      <c r="E31" s="72">
        <v>0.375</v>
      </c>
      <c r="F31" s="72">
        <v>0</v>
      </c>
      <c r="G31" s="72">
        <f>E31-F31</f>
        <v>0.375</v>
      </c>
      <c r="H31" s="72">
        <v>0.5</v>
      </c>
      <c r="I31" s="73">
        <v>0</v>
      </c>
      <c r="J31" s="73">
        <f t="shared" si="1"/>
        <v>3</v>
      </c>
      <c r="K31" s="73">
        <v>0</v>
      </c>
      <c r="L31" s="110">
        <v>0</v>
      </c>
      <c r="M31" s="102">
        <f>(D14/60)*0</f>
        <v>0</v>
      </c>
      <c r="N31" s="99">
        <f>IFERROR(J31*IF(AND(ISNUMBER(SEARCH(TEXT(C31,"ddd"),$G$11)),Data!$F$2),$G$14,$D$14)+K31*$G$14,"")</f>
        <v>187.5</v>
      </c>
      <c r="O31" s="141">
        <f t="shared" si="3"/>
        <v>187.5</v>
      </c>
      <c r="P31" s="95">
        <f>O28-O31</f>
        <v>375</v>
      </c>
    </row>
    <row r="32" spans="2:34">
      <c r="B32" s="66"/>
      <c r="C32" s="76"/>
      <c r="D32" s="77"/>
      <c r="E32" s="144"/>
      <c r="F32" s="144"/>
      <c r="G32" s="597" t="s">
        <v>182</v>
      </c>
      <c r="H32" s="598"/>
      <c r="I32" s="80">
        <f>SUM(I17:I31)</f>
        <v>10</v>
      </c>
      <c r="J32" s="80">
        <f>SUM(J17:J31)</f>
        <v>99</v>
      </c>
      <c r="K32" s="80">
        <f>SUM(K17:K31)</f>
        <v>0</v>
      </c>
      <c r="L32" s="113">
        <f>SUM(L17:L31)</f>
        <v>0</v>
      </c>
      <c r="M32" s="114">
        <f>SUM(M17:M31)</f>
        <v>0</v>
      </c>
      <c r="N32" s="66"/>
      <c r="O32" s="165">
        <f>SUM(O17:O31)</f>
        <v>6187.5</v>
      </c>
      <c r="P32" s="165">
        <f>SUM(P17:P31)</f>
        <v>375</v>
      </c>
      <c r="Q32" s="95">
        <f>O32+P32</f>
        <v>6562.5</v>
      </c>
    </row>
    <row r="33" spans="2:17">
      <c r="B33" s="66"/>
      <c r="C33" s="76"/>
      <c r="D33" s="77"/>
      <c r="E33" s="144"/>
      <c r="F33" s="144"/>
      <c r="G33" s="81" t="s">
        <v>39</v>
      </c>
      <c r="H33" s="82"/>
      <c r="I33" s="83"/>
      <c r="J33" s="84"/>
      <c r="K33" s="116"/>
      <c r="L33" s="102"/>
      <c r="M33" s="118"/>
      <c r="N33" s="166">
        <f>(D14*H14)</f>
        <v>6562.5</v>
      </c>
      <c r="O33" s="95"/>
      <c r="P33" s="95"/>
      <c r="Q33" s="95"/>
    </row>
    <row r="34" spans="2:17">
      <c r="B34" s="65"/>
      <c r="C34" s="65"/>
      <c r="D34" s="85"/>
      <c r="E34" s="85"/>
      <c r="F34" s="85"/>
      <c r="G34" s="592" t="s">
        <v>183</v>
      </c>
      <c r="H34" s="592"/>
      <c r="I34" s="80"/>
      <c r="J34" s="80">
        <v>0</v>
      </c>
      <c r="K34" s="65"/>
      <c r="L34" s="120"/>
      <c r="M34" s="65"/>
      <c r="N34" s="428">
        <f>M32</f>
        <v>0</v>
      </c>
      <c r="O34" s="151">
        <f>O32-O33</f>
        <v>6187.5</v>
      </c>
      <c r="P34" s="95"/>
      <c r="Q34" s="95"/>
    </row>
    <row r="35" spans="2:17">
      <c r="B35" s="65"/>
      <c r="C35" s="65"/>
      <c r="D35" s="85"/>
      <c r="E35" s="145"/>
      <c r="F35" s="145"/>
      <c r="G35" s="78" t="s">
        <v>41</v>
      </c>
      <c r="H35" s="79"/>
      <c r="I35" s="66"/>
      <c r="J35" s="66"/>
      <c r="K35" s="80"/>
      <c r="L35" s="80"/>
      <c r="M35" s="80"/>
      <c r="N35" s="121">
        <f>N33-N34</f>
        <v>6562.5</v>
      </c>
      <c r="O35" s="95"/>
      <c r="P35" s="95"/>
      <c r="Q35" s="95"/>
    </row>
    <row r="36" spans="2:17">
      <c r="B36" s="65"/>
      <c r="C36" s="65"/>
      <c r="D36" s="85"/>
      <c r="E36" s="146"/>
      <c r="F36" s="146"/>
      <c r="G36" s="604" t="s">
        <v>184</v>
      </c>
      <c r="H36" s="605"/>
      <c r="I36" s="80"/>
      <c r="J36" s="401"/>
      <c r="K36" s="122"/>
      <c r="L36" s="122"/>
      <c r="M36" s="122"/>
      <c r="N36" s="123">
        <f>G14*K32</f>
        <v>0</v>
      </c>
      <c r="O36" s="95"/>
    </row>
    <row r="37" spans="2:17">
      <c r="B37" s="65"/>
      <c r="C37" s="65"/>
      <c r="D37" s="85"/>
      <c r="E37" s="146"/>
      <c r="F37" s="146"/>
      <c r="G37" s="86" t="s">
        <v>185</v>
      </c>
      <c r="H37" s="87"/>
      <c r="I37" s="80"/>
      <c r="J37" s="66"/>
      <c r="K37" s="122"/>
      <c r="L37" s="122"/>
      <c r="M37" s="122"/>
      <c r="N37" s="123">
        <v>0</v>
      </c>
      <c r="O37" s="95"/>
    </row>
    <row r="38" spans="2:17">
      <c r="B38" s="65"/>
      <c r="C38" s="65"/>
      <c r="D38" s="85"/>
      <c r="E38" s="145"/>
      <c r="F38" s="145"/>
      <c r="G38" s="597" t="s">
        <v>186</v>
      </c>
      <c r="H38" s="598"/>
      <c r="I38" s="66"/>
      <c r="J38" s="66"/>
      <c r="K38" s="66"/>
      <c r="L38" s="66"/>
      <c r="M38" s="66"/>
      <c r="N38" s="124">
        <f>N35+N36+N37</f>
        <v>6562.5</v>
      </c>
      <c r="O38" s="95"/>
    </row>
    <row r="39" spans="2:17">
      <c r="D39" s="88"/>
      <c r="E39" s="88"/>
      <c r="F39" s="88"/>
      <c r="G39" s="589"/>
      <c r="H39" s="589"/>
      <c r="I39" s="90"/>
      <c r="J39" s="90"/>
      <c r="K39" s="125"/>
      <c r="L39" s="125"/>
      <c r="M39" s="125"/>
      <c r="N39" s="126"/>
      <c r="O39" s="127"/>
    </row>
    <row r="40" spans="2:17">
      <c r="D40" s="91"/>
      <c r="E40" s="91"/>
      <c r="F40" s="91"/>
      <c r="M40" t="s">
        <v>196</v>
      </c>
    </row>
    <row r="41" spans="2:17">
      <c r="B41" s="590" t="s">
        <v>187</v>
      </c>
      <c r="C41" s="590"/>
      <c r="D41" s="590"/>
      <c r="E41" s="590"/>
      <c r="F41" s="590"/>
      <c r="G41" s="590"/>
      <c r="H41" s="590"/>
      <c r="I41" s="590"/>
      <c r="J41" s="590"/>
      <c r="K41" s="590"/>
      <c r="L41" s="590"/>
      <c r="M41" s="590"/>
      <c r="N41" s="590"/>
    </row>
    <row r="42" spans="2:17">
      <c r="D42" s="91"/>
      <c r="E42" s="91"/>
      <c r="F42" s="91"/>
    </row>
    <row r="43" spans="2:17">
      <c r="D43" s="91" t="s">
        <v>188</v>
      </c>
      <c r="E43" s="91"/>
      <c r="F43" s="91"/>
      <c r="N43" s="95"/>
    </row>
    <row r="44" spans="2:17">
      <c r="D44" s="54" t="s">
        <v>10</v>
      </c>
      <c r="E44" s="54"/>
      <c r="F44" s="54"/>
      <c r="G44" s="54" t="s">
        <v>11</v>
      </c>
      <c r="H44" s="54" t="s">
        <v>12</v>
      </c>
      <c r="I44" s="55" t="s">
        <v>13</v>
      </c>
    </row>
    <row r="45" spans="2:17">
      <c r="D45" s="56">
        <v>2026</v>
      </c>
      <c r="E45" s="56"/>
      <c r="F45" s="56"/>
      <c r="G45" s="56" t="s">
        <v>204</v>
      </c>
      <c r="H45" s="56">
        <v>12</v>
      </c>
      <c r="I45" s="56" t="s">
        <v>15</v>
      </c>
    </row>
    <row r="46" spans="2:17">
      <c r="D46" s="57"/>
      <c r="E46" s="57"/>
      <c r="F46" s="57"/>
      <c r="G46" s="57"/>
    </row>
    <row r="47" spans="2:17" ht="33.75">
      <c r="D47" s="159" t="s">
        <v>16</v>
      </c>
      <c r="E47" s="159"/>
      <c r="F47" s="159"/>
      <c r="G47" s="159" t="s">
        <v>17</v>
      </c>
      <c r="H47" s="159" t="s">
        <v>18</v>
      </c>
      <c r="I47" s="159" t="s">
        <v>19</v>
      </c>
    </row>
    <row r="48" spans="2:17">
      <c r="D48" s="61">
        <v>0.33333333333333298</v>
      </c>
      <c r="E48" s="61"/>
      <c r="F48" s="61"/>
      <c r="G48" s="62">
        <v>10</v>
      </c>
      <c r="H48" s="63">
        <f>D14</f>
        <v>62.5</v>
      </c>
      <c r="I48" s="130">
        <f>(H48*30%)+H48</f>
        <v>81.25</v>
      </c>
    </row>
    <row r="50" spans="3:14">
      <c r="C50" s="131" t="s">
        <v>20</v>
      </c>
      <c r="D50" s="131" t="s">
        <v>12</v>
      </c>
      <c r="E50" s="131"/>
      <c r="F50" s="131"/>
      <c r="G50" s="131" t="s">
        <v>21</v>
      </c>
      <c r="H50" s="131" t="s">
        <v>22</v>
      </c>
      <c r="I50" s="131" t="s">
        <v>23</v>
      </c>
      <c r="J50" s="131" t="s">
        <v>24</v>
      </c>
      <c r="K50" s="131" t="s">
        <v>25</v>
      </c>
      <c r="L50" s="131"/>
      <c r="M50" s="131"/>
      <c r="N50" s="131" t="s">
        <v>26</v>
      </c>
    </row>
    <row r="51" spans="3:14">
      <c r="C51" s="70" t="s">
        <v>353</v>
      </c>
      <c r="D51" s="71">
        <v>12</v>
      </c>
      <c r="E51" s="71"/>
      <c r="F51" s="71"/>
      <c r="G51" s="72">
        <v>0.33333333333333331</v>
      </c>
      <c r="H51" s="72">
        <v>0.75</v>
      </c>
      <c r="I51" s="73">
        <v>1</v>
      </c>
      <c r="J51" s="73">
        <f>IFERROR(IF(AND(G51&lt;&gt;"",H51&lt;&gt;""),IF(G51&gt;$B$14+TIME($C$14,($C$14-INT($C$14))*60,0),0,IF(H51&gt;$B$14+TIME($C$14,($C$14-INT($C$14))*60,0),MIN(TIME($C$14,($C$14-INT($C$14))*60,0),($B$14+TIME($C$14,($C$14-INT($C$14))*60,0)-G51)),MIN(IF((H51-$B$14)&lt;0,0,(H51-$B$14)),(H51-G51))))*24,"")-I51,"")</f>
        <v>9</v>
      </c>
      <c r="K51" s="73">
        <f>IF(AND(G51&lt;&gt;"",H51&lt;&gt;""),((IF(G51&lt;$D$48,MIN($D$48-G51,H51-G51),0)+IF(H51&gt;$D$48+TIME($G$48,($G$48-INT($G$48))*60,0),MIN((H51-$D$48-TIME($G$48,($G$48-INT($G$48))*60,0)),(H51-G51)),0))*24),"")</f>
        <v>0</v>
      </c>
      <c r="L51" s="73"/>
      <c r="M51" s="73"/>
      <c r="N51" s="99">
        <f>(H48*J51)*2</f>
        <v>1125</v>
      </c>
    </row>
    <row r="52" spans="3:14">
      <c r="C52" s="70" t="s">
        <v>445</v>
      </c>
      <c r="D52" s="71">
        <v>23</v>
      </c>
      <c r="E52" s="71"/>
      <c r="F52" s="71"/>
      <c r="G52" s="72">
        <v>0.33333333333333331</v>
      </c>
      <c r="H52" s="72">
        <v>0.75</v>
      </c>
      <c r="I52" s="73">
        <v>1</v>
      </c>
      <c r="J52" s="73">
        <f>IFERROR(IF(AND(G52&lt;&gt;"",H52&lt;&gt;""),IF(G52&gt;$B$14+TIME($C$14,($C$14-INT($C$14))*60,0),0,IF(H52&gt;$B$14+TIME($C$14,($C$14-INT($C$14))*60,0),MIN(TIME($C$14,($C$14-INT($C$14))*60,0),($B$14+TIME($C$14,($C$14-INT($C$14))*60,0)-G52)),MIN(IF((H52-$B$14)&lt;0,0,(H52-$B$14)),(H52-G52))))*24,"")-I52,"")</f>
        <v>9</v>
      </c>
      <c r="K52" s="73">
        <f>IF(AND(G52&lt;&gt;"",H52&lt;&gt;""),((IF(G52&lt;$D$48,MIN($D$48-G52,H52-G52),0)+IF(H52&gt;$D$48+TIME($G$48,($G$48-INT($G$48))*60,0),MIN((H52-$D$48-TIME($G$48,($G$48-INT($G$48))*60,0)),(H52-G52)),0))*24),"")</f>
        <v>0</v>
      </c>
      <c r="L52" s="73"/>
      <c r="M52" s="73"/>
      <c r="N52" s="99">
        <f>(H48*J52)+562.5*30%</f>
        <v>731.25</v>
      </c>
    </row>
    <row r="53" spans="3:14"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318">
        <f>SUM(N51:N52)</f>
        <v>1856.25</v>
      </c>
    </row>
    <row r="54" spans="3:14">
      <c r="N54" s="138"/>
    </row>
    <row r="55" spans="3:14">
      <c r="N55" s="138"/>
    </row>
    <row r="56" spans="3:14">
      <c r="N56" s="138"/>
    </row>
    <row r="57" spans="3:14">
      <c r="N57" s="138"/>
    </row>
    <row r="58" spans="3:14">
      <c r="N58" s="138"/>
    </row>
    <row r="59" spans="3:14">
      <c r="N59" s="138"/>
    </row>
    <row r="60" spans="3:14">
      <c r="N60" s="138"/>
    </row>
    <row r="61" spans="3:14">
      <c r="N61" s="138"/>
    </row>
    <row r="62" spans="3:14">
      <c r="N62" s="138"/>
    </row>
    <row r="63" spans="3:14">
      <c r="N63" s="138"/>
    </row>
    <row r="64" spans="3:14">
      <c r="D64" s="132"/>
      <c r="E64" s="132"/>
      <c r="F64" s="132"/>
      <c r="G64" s="133"/>
      <c r="H64" s="133"/>
      <c r="I64" s="133"/>
    </row>
    <row r="65" spans="3:14">
      <c r="D65" s="132"/>
      <c r="E65" s="132"/>
      <c r="F65" s="132"/>
      <c r="G65" s="133"/>
      <c r="H65" s="133"/>
      <c r="I65" s="133"/>
    </row>
    <row r="66" spans="3:14">
      <c r="D66" s="132" t="s">
        <v>190</v>
      </c>
      <c r="E66" s="132"/>
      <c r="F66" s="132"/>
      <c r="G66" s="133"/>
      <c r="H66" s="133"/>
      <c r="I66" s="133"/>
    </row>
    <row r="67" spans="3:14">
      <c r="D67" s="54" t="s">
        <v>10</v>
      </c>
      <c r="E67" s="54"/>
      <c r="F67" s="54"/>
      <c r="G67" s="54" t="s">
        <v>11</v>
      </c>
      <c r="H67" s="54" t="s">
        <v>12</v>
      </c>
      <c r="I67" s="55" t="s">
        <v>13</v>
      </c>
    </row>
    <row r="68" spans="3:14">
      <c r="D68" s="56">
        <v>2022</v>
      </c>
      <c r="E68" s="56"/>
      <c r="F68" s="56"/>
      <c r="G68" s="56" t="s">
        <v>189</v>
      </c>
      <c r="H68" s="56">
        <v>27</v>
      </c>
      <c r="I68" s="56" t="s">
        <v>15</v>
      </c>
    </row>
    <row r="69" spans="3:14">
      <c r="D69" s="57"/>
      <c r="E69" s="57"/>
      <c r="F69" s="57"/>
      <c r="G69" s="57"/>
    </row>
    <row r="70" spans="3:14" ht="33.75">
      <c r="D70" s="159" t="s">
        <v>16</v>
      </c>
      <c r="E70" s="159"/>
      <c r="F70" s="159"/>
      <c r="G70" s="159" t="s">
        <v>17</v>
      </c>
      <c r="H70" s="159" t="s">
        <v>191</v>
      </c>
      <c r="I70" s="167"/>
      <c r="J70" t="s">
        <v>192</v>
      </c>
    </row>
    <row r="71" spans="3:14">
      <c r="D71" s="61">
        <v>0.33333333333333298</v>
      </c>
      <c r="E71" s="61"/>
      <c r="F71" s="61"/>
      <c r="G71" s="62">
        <v>9</v>
      </c>
      <c r="H71" s="63">
        <v>45.63</v>
      </c>
      <c r="I71" s="130"/>
    </row>
    <row r="73" spans="3:14"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</row>
    <row r="74" spans="3:14">
      <c r="C74" s="131"/>
      <c r="D74" s="131" t="s">
        <v>12</v>
      </c>
      <c r="E74" s="131"/>
      <c r="F74" s="131"/>
      <c r="G74" s="131" t="s">
        <v>21</v>
      </c>
      <c r="H74" s="131" t="s">
        <v>22</v>
      </c>
      <c r="I74" s="131" t="s">
        <v>23</v>
      </c>
      <c r="J74" s="131" t="s">
        <v>24</v>
      </c>
      <c r="K74" s="131" t="s">
        <v>25</v>
      </c>
      <c r="L74" s="131"/>
      <c r="M74" s="131"/>
      <c r="N74" s="131" t="s">
        <v>26</v>
      </c>
    </row>
    <row r="75" spans="3:14">
      <c r="C75" s="70" t="s">
        <v>193</v>
      </c>
      <c r="D75" s="71">
        <v>27</v>
      </c>
      <c r="E75" s="71"/>
      <c r="F75" s="71"/>
      <c r="G75" s="72">
        <v>0</v>
      </c>
      <c r="H75" s="72">
        <v>0</v>
      </c>
      <c r="I75" s="73"/>
      <c r="J75" s="73">
        <f>IFERROR(IF(AND(G75&lt;&gt;"",H75&lt;&gt;""),IF(G75&gt;$B$14+TIME($C$14,($C$14-INT($C$14))*60,0),0,IF(H75&gt;$B$14+TIME($C$14,($C$14-INT($C$14))*60,0),MIN(TIME($C$14,($C$14-INT($C$14))*60,0),($B$14+TIME($C$14,($C$14-INT($C$14))*60,0)-G75)),MIN(IF((H75-$B$14)&lt;0,0,(H75-$B$14)),(H75-G75))))*24,"")-I75,"")</f>
        <v>0</v>
      </c>
      <c r="K75" s="73">
        <f>IF(AND(G75&lt;&gt;"",H75&lt;&gt;""),((IF(G75&lt;$B$14,MIN($B$14-G75,H75-G75),0)+IF(H75&gt;$B$14+TIME($C$14,($C$14-INT($C$14))*60,0),MIN((H75-$B$14-TIME($C$14,($C$14-INT($C$14))*60,0)),(H75-G75)),0))*24),"")</f>
        <v>0</v>
      </c>
      <c r="L75" s="110"/>
      <c r="M75" s="102"/>
      <c r="N75" s="99">
        <f>(H71+(H71*169%))*K75</f>
        <v>0</v>
      </c>
    </row>
    <row r="76" spans="3:14">
      <c r="C76" s="70" t="s">
        <v>193</v>
      </c>
      <c r="D76" s="71">
        <v>3</v>
      </c>
      <c r="E76" s="71"/>
      <c r="F76" s="71"/>
      <c r="G76" s="72">
        <v>0</v>
      </c>
      <c r="H76" s="72">
        <v>0</v>
      </c>
      <c r="I76" s="73"/>
      <c r="J76" s="73">
        <f>IFERROR(IF(AND(G76&lt;&gt;"",H76&lt;&gt;""),IF(G76&gt;$B$14+TIME($C$14,($C$14-INT($C$14))*60,0),0,IF(H76&gt;$B$14+TIME($C$14,($C$14-INT($C$14))*60,0),MIN(TIME($C$14,($C$14-INT($C$14))*60,0),($B$14+TIME($C$14,($C$14-INT($C$14))*60,0)-G76)),MIN(IF((H76-$B$14)&lt;0,0,(H76-$B$14)),(H76-G76))))*24,"")-I76,"")</f>
        <v>0</v>
      </c>
      <c r="K76" s="73">
        <f>IF(AND(G76&lt;&gt;"",H76&lt;&gt;""),((IF(G76&lt;$D$48,MIN($D$48-G76,H76-G76),0)+IF(H76&gt;$D$48+TIME($G$48,($G$48-INT($G$48))*60,0),MIN((H76-$D$48-TIME($G$48,($G$48-INT($G$48))*60,0)),(H76-G76)),0))*24),"")</f>
        <v>0</v>
      </c>
      <c r="L76" s="73"/>
      <c r="M76" s="73"/>
      <c r="N76" s="99">
        <f>(H71+(H71*169%))*K76</f>
        <v>0</v>
      </c>
    </row>
    <row r="77" spans="3:14">
      <c r="C77" s="70"/>
      <c r="D77" s="71"/>
      <c r="E77" s="71"/>
      <c r="F77" s="71"/>
      <c r="G77" s="72"/>
      <c r="H77" s="72"/>
      <c r="I77" s="73"/>
      <c r="J77" s="73"/>
      <c r="K77" s="73"/>
      <c r="L77" s="73"/>
      <c r="M77" s="73"/>
      <c r="N77" s="99"/>
    </row>
    <row r="78" spans="3:14"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137">
        <f>SUM(N75:N76)</f>
        <v>0</v>
      </c>
    </row>
    <row r="79" spans="3:14">
      <c r="G79" s="606"/>
      <c r="H79" s="606"/>
    </row>
    <row r="82" spans="3:3">
      <c r="C82" s="91" t="s">
        <v>141</v>
      </c>
    </row>
    <row r="83" spans="3:3">
      <c r="C83" t="s">
        <v>66</v>
      </c>
    </row>
    <row r="84" spans="3:3">
      <c r="C84" s="91"/>
    </row>
  </sheetData>
  <mergeCells count="12">
    <mergeCell ref="G79:H79"/>
    <mergeCell ref="A6:N6"/>
    <mergeCell ref="C7:D7"/>
    <mergeCell ref="M7:O7"/>
    <mergeCell ref="C8:D8"/>
    <mergeCell ref="M8:O8"/>
    <mergeCell ref="G32:H32"/>
    <mergeCell ref="G34:H34"/>
    <mergeCell ref="G36:H36"/>
    <mergeCell ref="G38:H38"/>
    <mergeCell ref="G39:H39"/>
    <mergeCell ref="B41:N41"/>
  </mergeCells>
  <conditionalFormatting sqref="C17:L31">
    <cfRule type="expression" dxfId="134" priority="2">
      <formula>ISNUMBER(SEARCH(TEXT($C17,"ddd"),$G$11))</formula>
    </cfRule>
  </conditionalFormatting>
  <conditionalFormatting sqref="C51:N52">
    <cfRule type="expression" dxfId="133" priority="1">
      <formula>ISNUMBER(SEARCH(TEXT($C51,"ddd"),$G$11))</formula>
    </cfRule>
  </conditionalFormatting>
  <conditionalFormatting sqref="N17:N26">
    <cfRule type="expression" dxfId="132" priority="60">
      <formula>ISNUMBER(SEARCH(TEXT($C17,"ddd"),$G$11))</formula>
    </cfRule>
  </conditionalFormatting>
  <conditionalFormatting sqref="N27">
    <cfRule type="expression" dxfId="131" priority="58">
      <formula>ISNUMBER(SEARCH(TEXT($B27,"ddd"),$F$10))</formula>
    </cfRule>
  </conditionalFormatting>
  <conditionalFormatting sqref="N28:N31 I75:L75 G75:H76 C75:F77 N75:N77 I76 J76:M77 G77:I77">
    <cfRule type="expression" dxfId="130" priority="63">
      <formula>ISNUMBER(SEARCH(TEXT($C28,"ddd"),$G$11))</formula>
    </cfRule>
  </conditionalFormatting>
  <dataValidations count="5">
    <dataValidation type="custom" allowBlank="1" showInputMessage="1" showErrorMessage="1" sqref="H75:H77 H51:H52 H17:H31" xr:uid="{00000000-0002-0000-1500-000000000000}">
      <formula1>AND($H17&lt;=1,ISNUMBER($H17),($H17&gt;=$G17))</formula1>
    </dataValidation>
    <dataValidation type="custom" allowBlank="1" showInputMessage="1" showErrorMessage="1" sqref="G75:G77 G51:G52 E17:G31" xr:uid="{00000000-0002-0000-1500-000001000000}">
      <formula1>AND($G17&lt;=1,ISNUMBER($G17))</formula1>
    </dataValidation>
    <dataValidation type="list" allowBlank="1" showInputMessage="1" showErrorMessage="1" sqref="H68 E11:F11" xr:uid="{00000000-0002-0000-1500-000002000000}">
      <formula1>COROSO!DateCalc</formula1>
    </dataValidation>
    <dataValidation type="list" allowBlank="1" showInputMessage="1" showErrorMessage="1" sqref="D11 H45" xr:uid="{00000000-0002-0000-1500-000003000000}">
      <formula1>DateCalc</formula1>
    </dataValidation>
    <dataValidation type="list" allowBlank="1" showInputMessage="1" showErrorMessage="1" sqref="I68 G11 D68:G68" xr:uid="{00000000-0002-0000-1500-000004000000}"/>
  </dataValidations>
  <pageMargins left="1.07083333333333" right="0.25" top="0.359722222222222" bottom="0.39791666666666697" header="0.29861111111111099" footer="0.29861111111111099"/>
  <pageSetup paperSize="9" scale="91" orientation="landscape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33857" r:id="rId4" name="Check Box 1">
              <controlPr defaultSize="0" print="0" autoPict="0">
                <anchor moveWithCells="1">
                  <from>
                    <xdr:col>7</xdr:col>
                    <xdr:colOff>180975</xdr:colOff>
                    <xdr:row>9</xdr:row>
                    <xdr:rowOff>28575</xdr:rowOff>
                  </from>
                  <to>
                    <xdr:col>8</xdr:col>
                    <xdr:colOff>571500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500-000005000000}">
          <x14:formula1>
            <xm:f>Data!$B$2:$B$13</xm:f>
          </x14:formula1>
          <xm:sqref>C11 G45</xm:sqref>
        </x14:dataValidation>
        <x14:dataValidation type="list" allowBlank="1" showInputMessage="1" showErrorMessage="1" xr:uid="{00000000-0002-0000-1500-000006000000}">
          <x14:formula1>
            <xm:f>Data!$A$2:$A$15</xm:f>
          </x14:formula1>
          <xm:sqref>B11 D45:F45</xm:sqref>
        </x14:dataValidation>
        <x14:dataValidation type="list" allowBlank="1" showInputMessage="1" showErrorMessage="1" xr:uid="{00000000-0002-0000-1500-000007000000}">
          <x14:formula1>
            <xm:f>Data!$D$2:$D$16</xm:f>
          </x14:formula1>
          <xm:sqref>I45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5:AH84"/>
  <sheetViews>
    <sheetView showGridLines="0" view="pageLayout" topLeftCell="A17" zoomScaleNormal="100" workbookViewId="0">
      <selection activeCell="M34" sqref="M34"/>
    </sheetView>
  </sheetViews>
  <sheetFormatPr defaultColWidth="9" defaultRowHeight="12.75"/>
  <cols>
    <col min="1" max="1" width="1.625" customWidth="1"/>
    <col min="2" max="2" width="5.375" customWidth="1"/>
    <col min="3" max="3" width="7.125" customWidth="1"/>
    <col min="4" max="6" width="7.625" customWidth="1"/>
    <col min="7" max="7" width="10.125" customWidth="1"/>
    <col min="8" max="8" width="9.625" customWidth="1"/>
    <col min="9" max="9" width="8.125" customWidth="1"/>
    <col min="10" max="10" width="10.125" customWidth="1"/>
    <col min="11" max="11" width="7.875" customWidth="1"/>
    <col min="12" max="12" width="10.125" customWidth="1"/>
    <col min="13" max="13" width="10.375" customWidth="1"/>
    <col min="14" max="14" width="10.875" customWidth="1"/>
    <col min="15" max="15" width="16.875" customWidth="1"/>
    <col min="18" max="18" width="11.125" customWidth="1"/>
  </cols>
  <sheetData>
    <row r="5" spans="1:15" ht="25.5" customHeight="1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15" s="47" customFormat="1" ht="25.5" customHeight="1">
      <c r="A6" s="603"/>
      <c r="B6" s="603"/>
      <c r="C6" s="603"/>
      <c r="D6" s="603"/>
      <c r="E6" s="603"/>
      <c r="F6" s="603"/>
      <c r="G6" s="603"/>
      <c r="H6" s="603"/>
      <c r="I6" s="603"/>
      <c r="J6" s="603"/>
      <c r="K6" s="603"/>
      <c r="L6" s="603"/>
      <c r="M6" s="603"/>
      <c r="N6" s="603"/>
    </row>
    <row r="7" spans="1:15" ht="18.75" customHeight="1">
      <c r="C7" s="527" t="s">
        <v>3</v>
      </c>
      <c r="D7" s="527"/>
      <c r="E7" s="49"/>
      <c r="F7" s="49"/>
      <c r="G7" s="50" t="s">
        <v>371</v>
      </c>
      <c r="H7" s="51"/>
      <c r="K7" s="49" t="s">
        <v>174</v>
      </c>
      <c r="M7" s="599" t="str">
        <f>PAALAN!L7</f>
        <v>September  11-25, 2026</v>
      </c>
      <c r="N7" s="599"/>
      <c r="O7" s="599"/>
    </row>
    <row r="8" spans="1:15" ht="18.75" customHeight="1">
      <c r="C8" s="527" t="s">
        <v>175</v>
      </c>
      <c r="D8" s="527"/>
      <c r="E8" s="49"/>
      <c r="F8" s="49"/>
      <c r="G8" s="50" t="s">
        <v>75</v>
      </c>
      <c r="H8" s="51"/>
      <c r="K8" s="49" t="s">
        <v>176</v>
      </c>
      <c r="L8" s="92"/>
      <c r="M8" s="600" t="str">
        <f>PAALAN!L8</f>
        <v>9/31/2026</v>
      </c>
      <c r="N8" s="600"/>
      <c r="O8" s="600"/>
    </row>
    <row r="9" spans="1:15">
      <c r="C9" s="52"/>
      <c r="D9" s="53"/>
      <c r="E9" s="53"/>
      <c r="F9" s="53"/>
      <c r="G9" s="53"/>
    </row>
    <row r="10" spans="1:15">
      <c r="B10" s="54" t="s">
        <v>10</v>
      </c>
      <c r="C10" s="54" t="s">
        <v>11</v>
      </c>
      <c r="D10" s="54" t="s">
        <v>12</v>
      </c>
      <c r="E10" s="54"/>
      <c r="F10" s="54"/>
      <c r="G10" s="55" t="s">
        <v>13</v>
      </c>
    </row>
    <row r="11" spans="1:15">
      <c r="B11" s="56">
        <v>2025</v>
      </c>
      <c r="C11" s="56" t="s">
        <v>274</v>
      </c>
      <c r="D11" s="56">
        <v>11</v>
      </c>
      <c r="E11" s="56"/>
      <c r="F11" s="56"/>
      <c r="G11" s="56" t="s">
        <v>178</v>
      </c>
    </row>
    <row r="12" spans="1:15">
      <c r="B12" s="57"/>
      <c r="C12" s="57"/>
      <c r="H12" s="57"/>
      <c r="K12" s="57"/>
      <c r="L12" s="57"/>
      <c r="M12" s="57"/>
    </row>
    <row r="13" spans="1:15" ht="32.1" customHeight="1">
      <c r="B13" s="159" t="s">
        <v>16</v>
      </c>
      <c r="C13" s="159" t="s">
        <v>17</v>
      </c>
      <c r="D13" s="159" t="s">
        <v>18</v>
      </c>
      <c r="E13" s="160"/>
      <c r="F13" s="160"/>
      <c r="G13" s="160" t="s">
        <v>19</v>
      </c>
      <c r="H13" s="161" t="s">
        <v>179</v>
      </c>
      <c r="L13" s="93"/>
      <c r="M13" s="93"/>
      <c r="N13" s="94"/>
    </row>
    <row r="14" spans="1:15">
      <c r="B14" s="61">
        <v>0.33333333333333331</v>
      </c>
      <c r="C14" s="62">
        <v>10</v>
      </c>
      <c r="D14" s="63">
        <f>(13000/26)/8</f>
        <v>62.5</v>
      </c>
      <c r="E14" s="142"/>
      <c r="F14" s="142"/>
      <c r="G14" s="64">
        <f>(D14*25%)+D14</f>
        <v>78.125</v>
      </c>
      <c r="H14" s="65">
        <v>105</v>
      </c>
      <c r="I14" s="95"/>
      <c r="L14" s="57"/>
      <c r="M14" s="57"/>
      <c r="N14" s="95"/>
    </row>
    <row r="15" spans="1:15">
      <c r="N15" s="96"/>
    </row>
    <row r="16" spans="1:15" ht="23.25">
      <c r="B16" s="66"/>
      <c r="C16" s="67" t="s">
        <v>20</v>
      </c>
      <c r="D16" s="67" t="s">
        <v>12</v>
      </c>
      <c r="E16" s="67"/>
      <c r="F16" s="67"/>
      <c r="G16" s="67" t="s">
        <v>21</v>
      </c>
      <c r="H16" s="67" t="s">
        <v>22</v>
      </c>
      <c r="I16" s="68" t="s">
        <v>23</v>
      </c>
      <c r="J16" s="68" t="s">
        <v>24</v>
      </c>
      <c r="K16" s="68" t="s">
        <v>25</v>
      </c>
      <c r="L16" s="67" t="s">
        <v>180</v>
      </c>
      <c r="M16" s="134" t="s">
        <v>181</v>
      </c>
      <c r="N16" s="67" t="s">
        <v>26</v>
      </c>
    </row>
    <row r="17" spans="2:34">
      <c r="B17" s="69">
        <v>1</v>
      </c>
      <c r="C17" s="70">
        <f>DATE($B$11,MATCH($C$11,Data!$B$2:$B$13,0),NICOLAS!$D$11)</f>
        <v>45972</v>
      </c>
      <c r="D17" s="71">
        <f>DATE($B$11,MATCH($C$11,Data!$B$2:$B$13,0),NICOLAS!$D$11)</f>
        <v>45972</v>
      </c>
      <c r="E17" s="72">
        <v>0.34027777777777773</v>
      </c>
      <c r="F17" s="72">
        <v>6.9444444444444441E-3</v>
      </c>
      <c r="G17" s="72">
        <f t="shared" ref="G17:G31" si="0">E17-F17</f>
        <v>0.33333333333333331</v>
      </c>
      <c r="H17" s="72">
        <v>0.75</v>
      </c>
      <c r="I17" s="73">
        <v>1</v>
      </c>
      <c r="J17" s="73">
        <f t="shared" ref="J17:J31" si="1">IFERROR(IF(AND(G17&lt;&gt;"",H17&lt;&gt;""),IF(G17&gt;$B$14+TIME($C$14,($C$14-INT($C$14))*60,0),0,IF(H17&gt;$B$14+TIME($C$14,($C$14-INT($C$14))*60,0),MIN(TIME($C$14,($C$14-INT($C$14))*60,0),($B$14+TIME($C$14,($C$14-INT($C$14))*60,0)-G17)),MIN(IF((H17-$B$14)&lt;0,0,(H17-$B$14)),(H17-G17))))*24,"")-I17,"")</f>
        <v>9</v>
      </c>
      <c r="K17" s="73">
        <f t="shared" ref="K17:K28" si="2">IF(AND(G17&lt;&gt;"",H17&lt;&gt;""),((IF(G17&lt;$B$14,MIN($B$14-G17,H17-G17),0)+IF(H17&gt;$B$14+TIME($C$14,($C$14-INT($C$14))*60,0),MIN((H17-$B$14-TIME($C$14,($C$14-INT($C$14))*60,0)),(H17-G17)),0))*24),"")</f>
        <v>0</v>
      </c>
      <c r="L17" s="110">
        <f>G17-B14</f>
        <v>0</v>
      </c>
      <c r="M17" s="102">
        <f>(D14/60)*0</f>
        <v>0</v>
      </c>
      <c r="N17" s="111">
        <f>IFERROR(J17*IF(AND(ISNUMBER(SEARCH(TEXT(C17,"ddd"),$G$11)),Data!$F$2),$G$14,$D$14)+K17*$G$14,"")</f>
        <v>562.5</v>
      </c>
      <c r="O17" s="141">
        <f t="shared" ref="O17:O31" si="3">M17+N17</f>
        <v>562.5</v>
      </c>
      <c r="P17" s="100"/>
      <c r="Q17" s="89"/>
    </row>
    <row r="18" spans="2:34">
      <c r="B18" s="69">
        <v>2</v>
      </c>
      <c r="C18" s="70">
        <f t="shared" ref="C18:D31" si="4">C17+1</f>
        <v>45973</v>
      </c>
      <c r="D18" s="71">
        <f t="shared" si="4"/>
        <v>45973</v>
      </c>
      <c r="E18" s="72">
        <v>0.34027777777777773</v>
      </c>
      <c r="F18" s="72">
        <v>6.9444444444444441E-3</v>
      </c>
      <c r="G18" s="72">
        <f t="shared" si="0"/>
        <v>0.33333333333333331</v>
      </c>
      <c r="H18" s="72">
        <v>0.75</v>
      </c>
      <c r="I18" s="73">
        <v>1</v>
      </c>
      <c r="J18" s="73">
        <f t="shared" si="1"/>
        <v>9</v>
      </c>
      <c r="K18" s="73">
        <f t="shared" si="2"/>
        <v>0</v>
      </c>
      <c r="L18" s="110">
        <f>G18-B14</f>
        <v>0</v>
      </c>
      <c r="M18" s="102">
        <f>(D14/60)*0</f>
        <v>0</v>
      </c>
      <c r="N18" s="111">
        <f>IFERROR(J18*IF(AND(ISNUMBER(SEARCH(TEXT(C18,"ddd"),$G$11)),Data!$F$2),$G$14,$D$14)+K18*$G$14,"")</f>
        <v>562.5</v>
      </c>
      <c r="O18" s="141">
        <f t="shared" si="3"/>
        <v>562.5</v>
      </c>
      <c r="P18" s="89"/>
      <c r="Q18" s="89"/>
    </row>
    <row r="19" spans="2:34">
      <c r="B19" s="69">
        <v>3</v>
      </c>
      <c r="C19" s="70">
        <f t="shared" si="4"/>
        <v>45974</v>
      </c>
      <c r="D19" s="71">
        <f t="shared" si="4"/>
        <v>45974</v>
      </c>
      <c r="E19" s="72">
        <v>0.34027777777777773</v>
      </c>
      <c r="F19" s="72">
        <v>6.9444444444444441E-3</v>
      </c>
      <c r="G19" s="72">
        <f t="shared" si="0"/>
        <v>0.33333333333333331</v>
      </c>
      <c r="H19" s="72">
        <v>0.75</v>
      </c>
      <c r="I19" s="73">
        <v>1</v>
      </c>
      <c r="J19" s="73">
        <f t="shared" si="1"/>
        <v>9</v>
      </c>
      <c r="K19" s="73">
        <f t="shared" si="2"/>
        <v>0</v>
      </c>
      <c r="L19" s="110">
        <f>G19-B14</f>
        <v>0</v>
      </c>
      <c r="M19" s="102">
        <f>(D14/60)*0</f>
        <v>0</v>
      </c>
      <c r="N19" s="111">
        <f>IFERROR(J19*IF(AND(ISNUMBER(SEARCH(TEXT(C19,"ddd"),$G$11)),Data!$F$2),$G$14,$D$14)+K19*$G$14,"")</f>
        <v>562.5</v>
      </c>
      <c r="O19" s="141">
        <f t="shared" si="3"/>
        <v>562.5</v>
      </c>
      <c r="P19" s="100"/>
      <c r="Q19" s="104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</row>
    <row r="20" spans="2:34">
      <c r="B20" s="69">
        <v>4</v>
      </c>
      <c r="C20" s="70">
        <f t="shared" si="4"/>
        <v>45975</v>
      </c>
      <c r="D20" s="71">
        <f t="shared" si="4"/>
        <v>45975</v>
      </c>
      <c r="E20" s="72">
        <v>0.34027777777777773</v>
      </c>
      <c r="F20" s="72">
        <v>6.9444444444444441E-3</v>
      </c>
      <c r="G20" s="72">
        <f t="shared" si="0"/>
        <v>0.33333333333333331</v>
      </c>
      <c r="H20" s="72">
        <v>0.75</v>
      </c>
      <c r="I20" s="73">
        <v>1</v>
      </c>
      <c r="J20" s="73">
        <f t="shared" si="1"/>
        <v>9</v>
      </c>
      <c r="K20" s="73">
        <f t="shared" si="2"/>
        <v>0</v>
      </c>
      <c r="L20" s="110">
        <f>G20-B14</f>
        <v>0</v>
      </c>
      <c r="M20" s="102">
        <f>(D14/60)*0</f>
        <v>0</v>
      </c>
      <c r="N20" s="111">
        <f>IFERROR(J20*IF(AND(ISNUMBER(SEARCH(TEXT(C20,"ddd"),$G$11)),Data!$F$2),$G$14,$D$14)+K20*$G$14,"")</f>
        <v>562.5</v>
      </c>
      <c r="O20" s="141">
        <f t="shared" si="3"/>
        <v>562.5</v>
      </c>
      <c r="P20" s="103"/>
      <c r="Q20" s="103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28"/>
    </row>
    <row r="21" spans="2:34">
      <c r="B21" s="69">
        <v>5</v>
      </c>
      <c r="C21" s="70">
        <f t="shared" si="4"/>
        <v>45976</v>
      </c>
      <c r="D21" s="71">
        <f t="shared" si="4"/>
        <v>45976</v>
      </c>
      <c r="E21" s="72">
        <v>0.38194444444444442</v>
      </c>
      <c r="F21" s="72">
        <v>6.9444444444444441E-3</v>
      </c>
      <c r="G21" s="72">
        <f t="shared" si="0"/>
        <v>0.375</v>
      </c>
      <c r="H21" s="72">
        <v>0.5</v>
      </c>
      <c r="I21" s="73">
        <v>0</v>
      </c>
      <c r="J21" s="73">
        <f t="shared" si="1"/>
        <v>3</v>
      </c>
      <c r="K21" s="73">
        <f t="shared" si="2"/>
        <v>0</v>
      </c>
      <c r="L21" s="110">
        <v>0</v>
      </c>
      <c r="M21" s="102">
        <f>(D14/60)*0</f>
        <v>0</v>
      </c>
      <c r="N21" s="111">
        <f>IFERROR(J21*IF(AND(ISNUMBER(SEARCH(TEXT(C21,"ddd"),$G$11)),Data!$F$2),$G$14,$D$14)+K21*$G$14,"")</f>
        <v>187.5</v>
      </c>
      <c r="O21" s="141">
        <f t="shared" si="3"/>
        <v>187.5</v>
      </c>
      <c r="P21" s="162"/>
      <c r="Q21" s="108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4"/>
    </row>
    <row r="22" spans="2:34">
      <c r="B22" s="69"/>
      <c r="C22" s="70">
        <f t="shared" si="4"/>
        <v>45977</v>
      </c>
      <c r="D22" s="71">
        <f t="shared" si="4"/>
        <v>45977</v>
      </c>
      <c r="E22" s="72">
        <v>0</v>
      </c>
      <c r="F22" s="72">
        <v>0</v>
      </c>
      <c r="G22" s="72">
        <f t="shared" si="0"/>
        <v>0</v>
      </c>
      <c r="H22" s="72">
        <v>0</v>
      </c>
      <c r="I22" s="73">
        <v>0</v>
      </c>
      <c r="J22" s="73">
        <f t="shared" si="1"/>
        <v>0</v>
      </c>
      <c r="K22" s="73">
        <v>0</v>
      </c>
      <c r="L22" s="110">
        <v>0</v>
      </c>
      <c r="M22" s="98">
        <f>(D14/60)*0</f>
        <v>0</v>
      </c>
      <c r="N22" s="251">
        <f>IFERROR(J22*IF(AND(ISNUMBER(SEARCH(TEXT(C22,"ddd"),$G$11)),Data!$F$2),$G$14,$D$14)+K22*$G$14,"")</f>
        <v>0</v>
      </c>
      <c r="O22" s="141">
        <f t="shared" si="3"/>
        <v>0</v>
      </c>
      <c r="P22" s="163">
        <f>O21-O22</f>
        <v>187.5</v>
      </c>
      <c r="Q22" s="135"/>
      <c r="R22" s="96">
        <v>0.40486111111111101</v>
      </c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4"/>
    </row>
    <row r="23" spans="2:34">
      <c r="B23" s="69">
        <v>6</v>
      </c>
      <c r="C23" s="70">
        <f t="shared" si="4"/>
        <v>45978</v>
      </c>
      <c r="D23" s="71">
        <f t="shared" si="4"/>
        <v>45978</v>
      </c>
      <c r="E23" s="72">
        <v>0.34027777777777773</v>
      </c>
      <c r="F23" s="72">
        <v>6.9444444444444441E-3</v>
      </c>
      <c r="G23" s="72">
        <f t="shared" si="0"/>
        <v>0.33333333333333331</v>
      </c>
      <c r="H23" s="72">
        <v>0.75</v>
      </c>
      <c r="I23" s="73">
        <v>1</v>
      </c>
      <c r="J23" s="73">
        <f t="shared" si="1"/>
        <v>9</v>
      </c>
      <c r="K23" s="73">
        <f t="shared" ref="K23" si="5">IF(AND(G23&lt;&gt;"",H23&lt;&gt;""),((IF(G23&lt;$B$14,MIN($B$14-G23,H23-G23),0)+IF(H23&gt;$B$14+TIME($C$14,($C$14-INT($C$14))*60,0),MIN((H23-$B$14-TIME($C$14,($C$14-INT($C$14))*60,0)),(H23-G23)),0))*24),"")</f>
        <v>0</v>
      </c>
      <c r="L23" s="110">
        <f>G23-B14</f>
        <v>0</v>
      </c>
      <c r="M23" s="102">
        <f>(D14/60)*0</f>
        <v>0</v>
      </c>
      <c r="N23" s="111">
        <f>IFERROR(J23*IF(AND(ISNUMBER(SEARCH(TEXT(C23,"ddd"),$G$11)),Data!$F$2),$G$14,$D$14)+K23*$G$14,"")</f>
        <v>562.5</v>
      </c>
      <c r="O23" s="141">
        <f t="shared" si="3"/>
        <v>562.5</v>
      </c>
      <c r="P23" s="150"/>
      <c r="Q23" s="89"/>
      <c r="R23" s="96">
        <v>1.0416666666666701E-2</v>
      </c>
    </row>
    <row r="24" spans="2:34">
      <c r="B24" s="69">
        <v>7</v>
      </c>
      <c r="C24" s="70">
        <f t="shared" si="4"/>
        <v>45979</v>
      </c>
      <c r="D24" s="71">
        <f t="shared" si="4"/>
        <v>45979</v>
      </c>
      <c r="E24" s="72">
        <v>0.34027777777777773</v>
      </c>
      <c r="F24" s="72">
        <v>6.9444444444444441E-3</v>
      </c>
      <c r="G24" s="72">
        <f t="shared" si="0"/>
        <v>0.33333333333333331</v>
      </c>
      <c r="H24" s="72">
        <v>0.75</v>
      </c>
      <c r="I24" s="73">
        <v>1</v>
      </c>
      <c r="J24" s="73">
        <f t="shared" si="1"/>
        <v>9</v>
      </c>
      <c r="K24" s="73">
        <v>0</v>
      </c>
      <c r="L24" s="110">
        <f>G24-B14</f>
        <v>0</v>
      </c>
      <c r="M24" s="102">
        <f>(D14/60)*0</f>
        <v>0</v>
      </c>
      <c r="N24" s="111">
        <f>IFERROR(J24*IF(AND(ISNUMBER(SEARCH(TEXT(C24,"ddd"),$G$11)),Data!$F$2),$G$14,$D$14)+K24*$G$14,"")</f>
        <v>562.5</v>
      </c>
      <c r="O24" s="141">
        <f t="shared" si="3"/>
        <v>562.5</v>
      </c>
      <c r="P24" s="155"/>
      <c r="Q24" s="89"/>
      <c r="R24" s="129">
        <f>R22-R23</f>
        <v>0.39444444444444432</v>
      </c>
    </row>
    <row r="25" spans="2:34">
      <c r="B25" s="69">
        <v>8</v>
      </c>
      <c r="C25" s="70">
        <f t="shared" si="4"/>
        <v>45980</v>
      </c>
      <c r="D25" s="71">
        <f t="shared" si="4"/>
        <v>45980</v>
      </c>
      <c r="E25" s="72">
        <v>0.34027777777777773</v>
      </c>
      <c r="F25" s="72">
        <v>6.9444444444444441E-3</v>
      </c>
      <c r="G25" s="72">
        <f t="shared" si="0"/>
        <v>0.33333333333333331</v>
      </c>
      <c r="H25" s="72">
        <v>0.75</v>
      </c>
      <c r="I25" s="73">
        <v>1</v>
      </c>
      <c r="J25" s="73">
        <f t="shared" si="1"/>
        <v>9</v>
      </c>
      <c r="K25" s="73">
        <f t="shared" si="2"/>
        <v>0</v>
      </c>
      <c r="L25" s="110">
        <f>G25-B14</f>
        <v>0</v>
      </c>
      <c r="M25" s="102">
        <f>(D14/60)*0</f>
        <v>0</v>
      </c>
      <c r="N25" s="111">
        <f>IFERROR(J25*IF(AND(ISNUMBER(SEARCH(TEXT(C25,"ddd"),$G$11)),Data!$F$2),$G$14,$D$14)+K25*$G$14,"")</f>
        <v>562.5</v>
      </c>
      <c r="O25" s="141">
        <f t="shared" si="3"/>
        <v>562.5</v>
      </c>
      <c r="P25" s="89"/>
      <c r="Q25" s="89"/>
    </row>
    <row r="26" spans="2:34">
      <c r="B26" s="69">
        <v>9</v>
      </c>
      <c r="C26" s="70">
        <f t="shared" si="4"/>
        <v>45981</v>
      </c>
      <c r="D26" s="71">
        <f t="shared" si="4"/>
        <v>45981</v>
      </c>
      <c r="E26" s="72">
        <v>0.34027777777777773</v>
      </c>
      <c r="F26" s="72">
        <v>6.9444444444444441E-3</v>
      </c>
      <c r="G26" s="72">
        <f t="shared" si="0"/>
        <v>0.33333333333333331</v>
      </c>
      <c r="H26" s="72">
        <v>0.75</v>
      </c>
      <c r="I26" s="73">
        <v>1</v>
      </c>
      <c r="J26" s="73">
        <f t="shared" si="1"/>
        <v>9</v>
      </c>
      <c r="K26" s="73">
        <f t="shared" si="2"/>
        <v>0</v>
      </c>
      <c r="L26" s="110">
        <f>G26-B14</f>
        <v>0</v>
      </c>
      <c r="M26" s="102">
        <f>(D14/60)*0</f>
        <v>0</v>
      </c>
      <c r="N26" s="99">
        <f>IFERROR(J26*IF(AND(ISNUMBER(SEARCH(TEXT(C26,"ddd"),$G$11)),Data!$F$2),$G$14,$D$14)+K26*$G$14,"")</f>
        <v>562.5</v>
      </c>
      <c r="O26" s="141">
        <f t="shared" si="3"/>
        <v>562.5</v>
      </c>
      <c r="P26" s="89"/>
      <c r="Q26" s="89"/>
    </row>
    <row r="27" spans="2:34">
      <c r="B27" s="69">
        <v>10</v>
      </c>
      <c r="C27" s="70">
        <f t="shared" si="4"/>
        <v>45982</v>
      </c>
      <c r="D27" s="71">
        <f t="shared" si="4"/>
        <v>45982</v>
      </c>
      <c r="E27" s="72">
        <v>0.34027777777777773</v>
      </c>
      <c r="F27" s="72">
        <v>6.9444444444444441E-3</v>
      </c>
      <c r="G27" s="72">
        <f t="shared" si="0"/>
        <v>0.33333333333333331</v>
      </c>
      <c r="H27" s="72">
        <v>0.75</v>
      </c>
      <c r="I27" s="73">
        <v>1</v>
      </c>
      <c r="J27" s="73">
        <f t="shared" si="1"/>
        <v>9</v>
      </c>
      <c r="K27" s="73">
        <f t="shared" si="2"/>
        <v>0</v>
      </c>
      <c r="L27" s="110">
        <f>G27-B14</f>
        <v>0</v>
      </c>
      <c r="M27" s="102">
        <f>(D14/60)*0</f>
        <v>0</v>
      </c>
      <c r="N27" s="111">
        <f>IFERROR(J27*IF(AND(ISNUMBER(SEARCH(TEXT(C27,"ddd"),$G$11)),Data!$F$2),$G$14,$D$14)+K27*$G$14,"")</f>
        <v>562.5</v>
      </c>
      <c r="O27" s="141">
        <f t="shared" si="3"/>
        <v>562.5</v>
      </c>
      <c r="P27" s="127"/>
      <c r="Q27" s="89"/>
    </row>
    <row r="28" spans="2:34">
      <c r="B28" s="69">
        <v>11</v>
      </c>
      <c r="C28" s="70">
        <f t="shared" si="4"/>
        <v>45983</v>
      </c>
      <c r="D28" s="71">
        <f t="shared" si="4"/>
        <v>45983</v>
      </c>
      <c r="E28" s="72">
        <v>0.38194444444444442</v>
      </c>
      <c r="F28" s="72">
        <v>6.9444444444444441E-3</v>
      </c>
      <c r="G28" s="72">
        <f t="shared" si="0"/>
        <v>0.375</v>
      </c>
      <c r="H28" s="72">
        <v>0.5</v>
      </c>
      <c r="I28" s="73">
        <v>0</v>
      </c>
      <c r="J28" s="73">
        <f t="shared" si="1"/>
        <v>3</v>
      </c>
      <c r="K28" s="73">
        <f t="shared" si="2"/>
        <v>0</v>
      </c>
      <c r="L28" s="110">
        <v>0</v>
      </c>
      <c r="M28" s="102">
        <f>(D14/60)*0</f>
        <v>0</v>
      </c>
      <c r="N28" s="111">
        <f>IFERROR(J28*IF(AND(ISNUMBER(SEARCH(TEXT(C28,"ddd"),$G$11)),Data!$F$2),$G$14,$D$14)+K28*$G$14,"")</f>
        <v>187.5</v>
      </c>
      <c r="O28" s="141">
        <f t="shared" si="3"/>
        <v>187.5</v>
      </c>
      <c r="Q28" s="89"/>
    </row>
    <row r="29" spans="2:34">
      <c r="B29" s="69"/>
      <c r="C29" s="70">
        <f t="shared" si="4"/>
        <v>45984</v>
      </c>
      <c r="D29" s="71">
        <f t="shared" si="4"/>
        <v>45984</v>
      </c>
      <c r="E29" s="72">
        <v>0</v>
      </c>
      <c r="F29" s="72">
        <v>0</v>
      </c>
      <c r="G29" s="72">
        <f t="shared" si="0"/>
        <v>0</v>
      </c>
      <c r="H29" s="72">
        <v>0</v>
      </c>
      <c r="I29" s="73">
        <v>0</v>
      </c>
      <c r="J29" s="73">
        <f t="shared" si="1"/>
        <v>0</v>
      </c>
      <c r="K29" s="73">
        <v>0</v>
      </c>
      <c r="L29" s="110">
        <v>0</v>
      </c>
      <c r="M29" s="98">
        <f>(D14/60)*0</f>
        <v>0</v>
      </c>
      <c r="N29" s="111">
        <f>IFERROR(J29*IF(AND(ISNUMBER(SEARCH(TEXT(C29,"ddd"),$G$11)),Data!$F$2),$G$14,$D$14)+K29*$G$14,"")</f>
        <v>0</v>
      </c>
      <c r="O29" s="141">
        <f t="shared" si="3"/>
        <v>0</v>
      </c>
      <c r="P29" s="95">
        <f>O28-O29</f>
        <v>187.5</v>
      </c>
      <c r="Q29" s="89"/>
    </row>
    <row r="30" spans="2:34">
      <c r="B30" s="69">
        <v>12</v>
      </c>
      <c r="C30" s="70">
        <f t="shared" si="4"/>
        <v>45985</v>
      </c>
      <c r="D30" s="71">
        <f t="shared" si="4"/>
        <v>45985</v>
      </c>
      <c r="E30" s="72">
        <v>0.34027777777777773</v>
      </c>
      <c r="F30" s="72">
        <v>6.9444444444444441E-3</v>
      </c>
      <c r="G30" s="72">
        <f t="shared" si="0"/>
        <v>0.33333333333333331</v>
      </c>
      <c r="H30" s="72">
        <v>0.75</v>
      </c>
      <c r="I30" s="73">
        <v>1</v>
      </c>
      <c r="J30" s="73">
        <f t="shared" si="1"/>
        <v>9</v>
      </c>
      <c r="K30" s="73">
        <v>0</v>
      </c>
      <c r="L30" s="110">
        <f>G30-B14</f>
        <v>0</v>
      </c>
      <c r="M30" s="102">
        <f>(D14/60)*0</f>
        <v>0</v>
      </c>
      <c r="N30" s="111">
        <f>IFERROR(J30*IF(AND(ISNUMBER(SEARCH(TEXT(C30,"ddd"),$G$11)),Data!$F$2),$G$14,$D$14)+K30*$G$14,"")</f>
        <v>562.5</v>
      </c>
      <c r="O30" s="141">
        <f t="shared" si="3"/>
        <v>562.5</v>
      </c>
      <c r="P30" s="127"/>
      <c r="Q30" s="89"/>
    </row>
    <row r="31" spans="2:34">
      <c r="B31" s="69">
        <v>13</v>
      </c>
      <c r="C31" s="70">
        <f t="shared" si="4"/>
        <v>45986</v>
      </c>
      <c r="D31" s="71">
        <f t="shared" si="4"/>
        <v>45986</v>
      </c>
      <c r="E31" s="72">
        <v>0.34027777777777773</v>
      </c>
      <c r="F31" s="72">
        <v>6.9444444444444441E-3</v>
      </c>
      <c r="G31" s="72">
        <f t="shared" si="0"/>
        <v>0.33333333333333331</v>
      </c>
      <c r="H31" s="72">
        <v>0.75</v>
      </c>
      <c r="I31" s="73">
        <v>1</v>
      </c>
      <c r="J31" s="73">
        <f t="shared" si="1"/>
        <v>9</v>
      </c>
      <c r="K31" s="73">
        <f t="shared" ref="K31" si="6">IF(AND(G31&lt;&gt;"",H31&lt;&gt;""),((IF(G31&lt;$B$14,MIN($B$14-G31,H31-G31),0)+IF(H31&gt;$B$14+TIME($C$14,($C$14-INT($C$14))*60,0),MIN((H31-$B$14-TIME($C$14,($C$14-INT($C$14))*60,0)),(H31-G31)),0))*24),"")</f>
        <v>0</v>
      </c>
      <c r="L31" s="110">
        <f>G31-B14</f>
        <v>0</v>
      </c>
      <c r="M31" s="102">
        <f>(D14/60)*0</f>
        <v>0</v>
      </c>
      <c r="N31" s="99">
        <f>IFERROR(J31*IF(AND(ISNUMBER(SEARCH(TEXT(C31,"ddd"),$G$11)),Data!$F$2),$G$14,$D$14)+K31*$G$14,"")</f>
        <v>562.5</v>
      </c>
      <c r="O31" s="141">
        <f t="shared" si="3"/>
        <v>562.5</v>
      </c>
      <c r="P31" s="95">
        <f>O28-O31</f>
        <v>-375</v>
      </c>
    </row>
    <row r="32" spans="2:34">
      <c r="B32" s="66"/>
      <c r="C32" s="76"/>
      <c r="D32" s="77"/>
      <c r="E32" s="144"/>
      <c r="F32" s="144"/>
      <c r="G32" s="597" t="s">
        <v>182</v>
      </c>
      <c r="H32" s="598"/>
      <c r="I32" s="80">
        <f>SUM(I17:I31)</f>
        <v>11</v>
      </c>
      <c r="J32" s="80">
        <f>SUM(J17:J31)</f>
        <v>105</v>
      </c>
      <c r="K32" s="80">
        <f>SUM(K17:K31)</f>
        <v>0</v>
      </c>
      <c r="L32" s="113">
        <f>SUM(L17:L31)</f>
        <v>0</v>
      </c>
      <c r="M32" s="114">
        <f>SUM(M17:M31)</f>
        <v>0</v>
      </c>
      <c r="N32" s="66"/>
      <c r="O32" s="165">
        <f>SUM(O17:O31)</f>
        <v>6562.5</v>
      </c>
      <c r="P32" s="165">
        <f>SUM(P17:P31)</f>
        <v>0</v>
      </c>
      <c r="Q32" s="95">
        <f>O32+P32</f>
        <v>6562.5</v>
      </c>
    </row>
    <row r="33" spans="2:17">
      <c r="B33" s="66"/>
      <c r="C33" s="76"/>
      <c r="D33" s="77"/>
      <c r="E33" s="144"/>
      <c r="F33" s="144"/>
      <c r="G33" s="81" t="s">
        <v>39</v>
      </c>
      <c r="H33" s="82"/>
      <c r="I33" s="83"/>
      <c r="J33" s="84"/>
      <c r="K33" s="116"/>
      <c r="L33" s="102">
        <f>(D14/60)*0</f>
        <v>0</v>
      </c>
      <c r="M33" s="118"/>
      <c r="N33" s="166">
        <f>(D14*H14)</f>
        <v>6562.5</v>
      </c>
      <c r="O33" s="95"/>
      <c r="P33" s="95"/>
      <c r="Q33" s="95"/>
    </row>
    <row r="34" spans="2:17">
      <c r="B34" s="65"/>
      <c r="C34" s="65"/>
      <c r="D34" s="85"/>
      <c r="E34" s="85"/>
      <c r="F34" s="85"/>
      <c r="G34" s="592" t="s">
        <v>183</v>
      </c>
      <c r="H34" s="592"/>
      <c r="I34" s="80"/>
      <c r="J34" s="80">
        <f>H14-J32</f>
        <v>0</v>
      </c>
      <c r="K34" s="65"/>
      <c r="L34" s="120"/>
      <c r="M34" s="65"/>
      <c r="N34" s="121">
        <f>L33</f>
        <v>0</v>
      </c>
      <c r="O34" s="151">
        <f>O32-O33</f>
        <v>6562.5</v>
      </c>
      <c r="P34" s="95"/>
      <c r="Q34" s="95"/>
    </row>
    <row r="35" spans="2:17">
      <c r="B35" s="65"/>
      <c r="C35" s="65"/>
      <c r="D35" s="85"/>
      <c r="E35" s="145"/>
      <c r="F35" s="145"/>
      <c r="G35" s="78" t="s">
        <v>41</v>
      </c>
      <c r="H35" s="79"/>
      <c r="I35" s="66"/>
      <c r="J35" s="66"/>
      <c r="K35" s="80"/>
      <c r="L35" s="80"/>
      <c r="M35" s="80"/>
      <c r="N35" s="121">
        <f>N33-N34</f>
        <v>6562.5</v>
      </c>
      <c r="O35" s="95"/>
      <c r="P35" s="95"/>
      <c r="Q35" s="95"/>
    </row>
    <row r="36" spans="2:17">
      <c r="B36" s="65"/>
      <c r="C36" s="65"/>
      <c r="D36" s="85"/>
      <c r="E36" s="146"/>
      <c r="F36" s="146"/>
      <c r="G36" s="604" t="s">
        <v>184</v>
      </c>
      <c r="H36" s="605"/>
      <c r="I36" s="80"/>
      <c r="J36" s="401"/>
      <c r="K36" s="122"/>
      <c r="L36" s="122"/>
      <c r="M36" s="122"/>
      <c r="N36" s="123">
        <f>G14*K32</f>
        <v>0</v>
      </c>
      <c r="O36" s="95"/>
    </row>
    <row r="37" spans="2:17">
      <c r="B37" s="65"/>
      <c r="C37" s="65"/>
      <c r="D37" s="85"/>
      <c r="E37" s="146"/>
      <c r="F37" s="146"/>
      <c r="G37" s="86" t="s">
        <v>185</v>
      </c>
      <c r="H37" s="87"/>
      <c r="I37" s="80"/>
      <c r="J37" s="66"/>
      <c r="K37" s="122"/>
      <c r="L37" s="122"/>
      <c r="M37" s="122"/>
      <c r="N37" s="123">
        <f>N53</f>
        <v>0</v>
      </c>
      <c r="O37" s="95"/>
    </row>
    <row r="38" spans="2:17">
      <c r="B38" s="65"/>
      <c r="C38" s="65"/>
      <c r="D38" s="85"/>
      <c r="E38" s="145"/>
      <c r="F38" s="145"/>
      <c r="G38" s="597" t="s">
        <v>186</v>
      </c>
      <c r="H38" s="598"/>
      <c r="I38" s="66"/>
      <c r="J38" s="66"/>
      <c r="K38" s="66"/>
      <c r="L38" s="66"/>
      <c r="M38" s="66"/>
      <c r="N38" s="124">
        <f>N35+N36+N37</f>
        <v>6562.5</v>
      </c>
      <c r="O38" s="95"/>
    </row>
    <row r="39" spans="2:17">
      <c r="D39" s="88"/>
      <c r="E39" s="88"/>
      <c r="F39" s="88"/>
      <c r="G39" s="589"/>
      <c r="H39" s="589"/>
      <c r="I39" s="90"/>
      <c r="J39" s="90"/>
      <c r="K39" s="125"/>
      <c r="L39" s="125"/>
      <c r="M39" s="125"/>
      <c r="N39" s="126"/>
      <c r="O39" s="127"/>
    </row>
    <row r="40" spans="2:17">
      <c r="D40" s="91"/>
      <c r="E40" s="91"/>
      <c r="F40" s="91"/>
      <c r="M40" t="s">
        <v>196</v>
      </c>
    </row>
    <row r="41" spans="2:17">
      <c r="B41" s="590" t="s">
        <v>187</v>
      </c>
      <c r="C41" s="590"/>
      <c r="D41" s="590"/>
      <c r="E41" s="590"/>
      <c r="F41" s="590"/>
      <c r="G41" s="590"/>
      <c r="H41" s="590"/>
      <c r="I41" s="590"/>
      <c r="J41" s="590"/>
      <c r="K41" s="590"/>
      <c r="L41" s="590"/>
      <c r="M41" s="590"/>
      <c r="N41" s="590"/>
    </row>
    <row r="42" spans="2:17">
      <c r="D42" s="91"/>
      <c r="E42" s="91"/>
      <c r="F42" s="91"/>
    </row>
    <row r="43" spans="2:17">
      <c r="D43" s="91" t="s">
        <v>188</v>
      </c>
      <c r="E43" s="91"/>
      <c r="F43" s="91"/>
      <c r="N43" s="95"/>
    </row>
    <row r="44" spans="2:17">
      <c r="D44" s="54" t="s">
        <v>10</v>
      </c>
      <c r="E44" s="54"/>
      <c r="F44" s="54"/>
      <c r="G44" s="54" t="s">
        <v>11</v>
      </c>
      <c r="H44" s="54" t="s">
        <v>12</v>
      </c>
      <c r="I44" s="55" t="s">
        <v>13</v>
      </c>
    </row>
    <row r="45" spans="2:17">
      <c r="D45" s="56">
        <v>2025</v>
      </c>
      <c r="E45" s="56"/>
      <c r="F45" s="56"/>
      <c r="G45" s="56" t="s">
        <v>189</v>
      </c>
      <c r="H45" s="56">
        <v>21</v>
      </c>
      <c r="I45" s="56" t="s">
        <v>15</v>
      </c>
    </row>
    <row r="46" spans="2:17">
      <c r="D46" s="57"/>
      <c r="E46" s="57"/>
      <c r="F46" s="57"/>
      <c r="G46" s="57"/>
    </row>
    <row r="47" spans="2:17" ht="33.75">
      <c r="D47" s="159" t="s">
        <v>16</v>
      </c>
      <c r="E47" s="159"/>
      <c r="F47" s="159"/>
      <c r="G47" s="159" t="s">
        <v>17</v>
      </c>
      <c r="H47" s="159" t="s">
        <v>18</v>
      </c>
      <c r="I47" s="159" t="s">
        <v>19</v>
      </c>
    </row>
    <row r="48" spans="2:17">
      <c r="D48" s="61">
        <v>0.33333333333333298</v>
      </c>
      <c r="E48" s="61"/>
      <c r="F48" s="61"/>
      <c r="G48" s="62">
        <v>10</v>
      </c>
      <c r="H48" s="63">
        <f>D14</f>
        <v>62.5</v>
      </c>
      <c r="I48" s="130">
        <f>(H48*30%)+H48</f>
        <v>81.25</v>
      </c>
    </row>
    <row r="50" spans="3:14">
      <c r="C50" s="131" t="s">
        <v>20</v>
      </c>
      <c r="D50" s="131" t="s">
        <v>12</v>
      </c>
      <c r="E50" s="131"/>
      <c r="F50" s="131"/>
      <c r="G50" s="131" t="s">
        <v>21</v>
      </c>
      <c r="H50" s="131" t="s">
        <v>22</v>
      </c>
      <c r="I50" s="131" t="s">
        <v>23</v>
      </c>
      <c r="J50" s="131" t="s">
        <v>24</v>
      </c>
      <c r="K50" s="131" t="s">
        <v>25</v>
      </c>
      <c r="L50" s="131"/>
      <c r="M50" s="131"/>
      <c r="N50" s="131" t="s">
        <v>26</v>
      </c>
    </row>
    <row r="51" spans="3:14">
      <c r="C51" s="70" t="s">
        <v>352</v>
      </c>
      <c r="D51" s="71">
        <v>45890</v>
      </c>
      <c r="E51" s="71"/>
      <c r="F51" s="71"/>
      <c r="G51" s="72">
        <v>0</v>
      </c>
      <c r="H51" s="72">
        <v>0</v>
      </c>
      <c r="I51" s="73">
        <v>0</v>
      </c>
      <c r="J51" s="73">
        <f>IFERROR(IF(AND(G51&lt;&gt;"",H51&lt;&gt;""),IF(G51&gt;$B$14+TIME($C$14,($C$14-INT($C$14))*60,0),0,IF(H51&gt;$B$14+TIME($C$14,($C$14-INT($C$14))*60,0),MIN(TIME($C$14,($C$14-INT($C$14))*60,0),($B$14+TIME($C$14,($C$14-INT($C$14))*60,0)-G51)),MIN(IF((H51-$B$14)&lt;0,0,(H51-$B$14)),(H51-G51))))*24,"")-I51,"")</f>
        <v>0</v>
      </c>
      <c r="K51" s="73">
        <f>IF(AND(G51&lt;&gt;"",H51&lt;&gt;""),((IF(G51&lt;$D$48,MIN($D$48-G51,H51-G51),0)+IF(H51&gt;$D$48+TIME($G$48,($G$48-INT($G$48))*60,0),MIN((H51-$D$48-TIME($G$48,($G$48-INT($G$48))*60,0)),(H51-G51)),0))*24),"")</f>
        <v>0</v>
      </c>
      <c r="L51" s="73"/>
      <c r="M51" s="73"/>
      <c r="N51" s="99">
        <f>(H48*J51)</f>
        <v>0</v>
      </c>
    </row>
    <row r="52" spans="3:14">
      <c r="C52" s="70" t="s">
        <v>210</v>
      </c>
      <c r="D52" s="71">
        <v>25</v>
      </c>
      <c r="E52" s="71"/>
      <c r="F52" s="71"/>
      <c r="G52" s="72">
        <v>0</v>
      </c>
      <c r="H52" s="72">
        <v>0</v>
      </c>
      <c r="I52" s="73">
        <v>0</v>
      </c>
      <c r="J52" s="73">
        <f>IFERROR(IF(AND(G52&lt;&gt;"",H52&lt;&gt;""),IF(G52&gt;$B$14+TIME($C$14,($C$14-INT($C$14))*60,0),0,IF(H52&gt;$B$14+TIME($C$14,($C$14-INT($C$14))*60,0),MIN(TIME($C$14,($C$14-INT($C$14))*60,0),($B$14+TIME($C$14,($C$14-INT($C$14))*60,0)-G52)),MIN(IF((H52-$B$14)&lt;0,0,(H52-$B$14)),(H52-G52))))*24,"")-I52,"")</f>
        <v>0</v>
      </c>
      <c r="K52" s="73">
        <v>0</v>
      </c>
      <c r="L52" s="73"/>
      <c r="M52" s="73"/>
      <c r="N52" s="99">
        <f>(H48*J52)</f>
        <v>0</v>
      </c>
    </row>
    <row r="53" spans="3:14"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318">
        <f>SUM(N51:N52)</f>
        <v>0</v>
      </c>
    </row>
    <row r="54" spans="3:14">
      <c r="N54" s="138"/>
    </row>
    <row r="55" spans="3:14">
      <c r="N55" s="138"/>
    </row>
    <row r="56" spans="3:14">
      <c r="N56" s="138"/>
    </row>
    <row r="57" spans="3:14">
      <c r="N57" s="138"/>
    </row>
    <row r="58" spans="3:14">
      <c r="N58" s="138"/>
    </row>
    <row r="59" spans="3:14">
      <c r="N59" s="138"/>
    </row>
    <row r="60" spans="3:14">
      <c r="N60" s="138"/>
    </row>
    <row r="61" spans="3:14">
      <c r="N61" s="138"/>
    </row>
    <row r="62" spans="3:14">
      <c r="N62" s="138"/>
    </row>
    <row r="63" spans="3:14">
      <c r="N63" s="138"/>
    </row>
    <row r="64" spans="3:14">
      <c r="D64" s="132"/>
      <c r="E64" s="132"/>
      <c r="F64" s="132"/>
      <c r="G64" s="133"/>
      <c r="H64" s="133"/>
      <c r="I64" s="133"/>
    </row>
    <row r="65" spans="3:14">
      <c r="D65" s="132"/>
      <c r="E65" s="132"/>
      <c r="F65" s="132"/>
      <c r="G65" s="133"/>
      <c r="H65" s="133"/>
      <c r="I65" s="133"/>
    </row>
    <row r="66" spans="3:14">
      <c r="D66" s="132" t="s">
        <v>190</v>
      </c>
      <c r="E66" s="132"/>
      <c r="F66" s="132"/>
      <c r="G66" s="133"/>
      <c r="H66" s="133"/>
      <c r="I66" s="133"/>
    </row>
    <row r="67" spans="3:14">
      <c r="D67" s="54" t="s">
        <v>10</v>
      </c>
      <c r="E67" s="54"/>
      <c r="F67" s="54"/>
      <c r="G67" s="54" t="s">
        <v>11</v>
      </c>
      <c r="H67" s="54" t="s">
        <v>12</v>
      </c>
      <c r="I67" s="55" t="s">
        <v>13</v>
      </c>
    </row>
    <row r="68" spans="3:14">
      <c r="D68" s="56">
        <v>2022</v>
      </c>
      <c r="E68" s="56"/>
      <c r="F68" s="56"/>
      <c r="G68" s="56" t="s">
        <v>189</v>
      </c>
      <c r="H68" s="56">
        <v>27</v>
      </c>
      <c r="I68" s="56" t="s">
        <v>15</v>
      </c>
    </row>
    <row r="69" spans="3:14">
      <c r="D69" s="57"/>
      <c r="E69" s="57"/>
      <c r="F69" s="57"/>
      <c r="G69" s="57"/>
    </row>
    <row r="70" spans="3:14" ht="33.75">
      <c r="D70" s="159" t="s">
        <v>16</v>
      </c>
      <c r="E70" s="159"/>
      <c r="F70" s="159"/>
      <c r="G70" s="159" t="s">
        <v>17</v>
      </c>
      <c r="H70" s="159" t="s">
        <v>191</v>
      </c>
      <c r="I70" s="167"/>
      <c r="J70" t="s">
        <v>192</v>
      </c>
    </row>
    <row r="71" spans="3:14">
      <c r="D71" s="61">
        <v>0.33333333333333298</v>
      </c>
      <c r="E71" s="61"/>
      <c r="F71" s="61"/>
      <c r="G71" s="62">
        <v>9</v>
      </c>
      <c r="H71" s="63">
        <v>45.63</v>
      </c>
      <c r="I71" s="130"/>
    </row>
    <row r="73" spans="3:14"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</row>
    <row r="74" spans="3:14">
      <c r="C74" s="131"/>
      <c r="D74" s="131" t="s">
        <v>12</v>
      </c>
      <c r="E74" s="131"/>
      <c r="F74" s="131"/>
      <c r="G74" s="131" t="s">
        <v>21</v>
      </c>
      <c r="H74" s="131" t="s">
        <v>22</v>
      </c>
      <c r="I74" s="131" t="s">
        <v>23</v>
      </c>
      <c r="J74" s="131" t="s">
        <v>24</v>
      </c>
      <c r="K74" s="131" t="s">
        <v>25</v>
      </c>
      <c r="L74" s="131"/>
      <c r="M74" s="131"/>
      <c r="N74" s="131" t="s">
        <v>26</v>
      </c>
    </row>
    <row r="75" spans="3:14">
      <c r="C75" s="70" t="s">
        <v>193</v>
      </c>
      <c r="D75" s="71">
        <v>27</v>
      </c>
      <c r="E75" s="71"/>
      <c r="F75" s="71"/>
      <c r="G75" s="72">
        <v>0</v>
      </c>
      <c r="H75" s="72">
        <v>0</v>
      </c>
      <c r="I75" s="73"/>
      <c r="J75" s="73">
        <f>IFERROR(IF(AND(G75&lt;&gt;"",H75&lt;&gt;""),IF(G75&gt;$B$14+TIME($C$14,($C$14-INT($C$14))*60,0),0,IF(H75&gt;$B$14+TIME($C$14,($C$14-INT($C$14))*60,0),MIN(TIME($C$14,($C$14-INT($C$14))*60,0),($B$14+TIME($C$14,($C$14-INT($C$14))*60,0)-G75)),MIN(IF((H75-$B$14)&lt;0,0,(H75-$B$14)),(H75-G75))))*24,"")-I75,"")</f>
        <v>0</v>
      </c>
      <c r="K75" s="73">
        <f>IF(AND(G75&lt;&gt;"",H75&lt;&gt;""),((IF(G75&lt;$B$14,MIN($B$14-G75,H75-G75),0)+IF(H75&gt;$B$14+TIME($C$14,($C$14-INT($C$14))*60,0),MIN((H75-$B$14-TIME($C$14,($C$14-INT($C$14))*60,0)),(H75-G75)),0))*24),"")</f>
        <v>0</v>
      </c>
      <c r="L75" s="110"/>
      <c r="M75" s="102"/>
      <c r="N75" s="99">
        <f>(H71+(H71*169%))*K75</f>
        <v>0</v>
      </c>
    </row>
    <row r="76" spans="3:14">
      <c r="C76" s="70" t="s">
        <v>193</v>
      </c>
      <c r="D76" s="71">
        <v>3</v>
      </c>
      <c r="E76" s="71"/>
      <c r="F76" s="71"/>
      <c r="G76" s="72">
        <v>0</v>
      </c>
      <c r="H76" s="72">
        <v>0</v>
      </c>
      <c r="I76" s="73"/>
      <c r="J76" s="73">
        <f>IFERROR(IF(AND(G76&lt;&gt;"",H76&lt;&gt;""),IF(G76&gt;$B$14+TIME($C$14,($C$14-INT($C$14))*60,0),0,IF(H76&gt;$B$14+TIME($C$14,($C$14-INT($C$14))*60,0),MIN(TIME($C$14,($C$14-INT($C$14))*60,0),($B$14+TIME($C$14,($C$14-INT($C$14))*60,0)-G76)),MIN(IF((H76-$B$14)&lt;0,0,(H76-$B$14)),(H76-G76))))*24,"")-I76,"")</f>
        <v>0</v>
      </c>
      <c r="K76" s="73">
        <f>IF(AND(G76&lt;&gt;"",H76&lt;&gt;""),((IF(G76&lt;$D$48,MIN($D$48-G76,H76-G76),0)+IF(H76&gt;$D$48+TIME($G$48,($G$48-INT($G$48))*60,0),MIN((H76-$D$48-TIME($G$48,($G$48-INT($G$48))*60,0)),(H76-G76)),0))*24),"")</f>
        <v>0</v>
      </c>
      <c r="L76" s="73"/>
      <c r="M76" s="73"/>
      <c r="N76" s="99">
        <f>(H71+(H71*169%))*K76</f>
        <v>0</v>
      </c>
    </row>
    <row r="77" spans="3:14">
      <c r="C77" s="70"/>
      <c r="D77" s="71"/>
      <c r="E77" s="71"/>
      <c r="F77" s="71"/>
      <c r="G77" s="72"/>
      <c r="H77" s="72"/>
      <c r="I77" s="73"/>
      <c r="J77" s="73"/>
      <c r="K77" s="73"/>
      <c r="L77" s="73"/>
      <c r="M77" s="73"/>
      <c r="N77" s="99"/>
    </row>
    <row r="78" spans="3:14"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137">
        <f>SUM(N75:N76)</f>
        <v>0</v>
      </c>
    </row>
    <row r="79" spans="3:14">
      <c r="G79" s="606"/>
      <c r="H79" s="606"/>
    </row>
    <row r="82" spans="3:3">
      <c r="C82" s="91" t="s">
        <v>141</v>
      </c>
    </row>
    <row r="83" spans="3:3">
      <c r="C83" t="s">
        <v>66</v>
      </c>
    </row>
    <row r="84" spans="3:3">
      <c r="C84" s="91"/>
    </row>
  </sheetData>
  <mergeCells count="12">
    <mergeCell ref="G79:H79"/>
    <mergeCell ref="A6:N6"/>
    <mergeCell ref="C7:D7"/>
    <mergeCell ref="M7:O7"/>
    <mergeCell ref="C8:D8"/>
    <mergeCell ref="M8:O8"/>
    <mergeCell ref="G32:H32"/>
    <mergeCell ref="G34:H34"/>
    <mergeCell ref="G36:H36"/>
    <mergeCell ref="G38:H38"/>
    <mergeCell ref="G39:H39"/>
    <mergeCell ref="B41:N41"/>
  </mergeCells>
  <conditionalFormatting sqref="C17:G31">
    <cfRule type="expression" dxfId="129" priority="7">
      <formula>ISNUMBER(SEARCH(TEXT($C17,"ddd"),$G$11))</formula>
    </cfRule>
  </conditionalFormatting>
  <conditionalFormatting sqref="C51:N52">
    <cfRule type="expression" dxfId="128" priority="35">
      <formula>ISNUMBER(SEARCH(TEXT($C51,"ddd"),$G$11))</formula>
    </cfRule>
  </conditionalFormatting>
  <conditionalFormatting sqref="H24:H31">
    <cfRule type="expression" dxfId="127" priority="2">
      <formula>ISNUMBER(SEARCH(TEXT($C24,"ddd"),$G$11))</formula>
    </cfRule>
  </conditionalFormatting>
  <conditionalFormatting sqref="H17:I23">
    <cfRule type="expression" dxfId="126" priority="4">
      <formula>ISNUMBER(SEARCH(TEXT($C17,"ddd"),$G$11))</formula>
    </cfRule>
  </conditionalFormatting>
  <conditionalFormatting sqref="I24:I26">
    <cfRule type="expression" dxfId="125" priority="46">
      <formula>ISNUMBER(SEARCH(TEXT($C24,"ddd"),$G$11))</formula>
    </cfRule>
  </conditionalFormatting>
  <conditionalFormatting sqref="I27:L31">
    <cfRule type="expression" dxfId="124" priority="1">
      <formula>ISNUMBER(SEARCH(TEXT($C27,"ddd"),$G$11))</formula>
    </cfRule>
  </conditionalFormatting>
  <conditionalFormatting sqref="J17:L26">
    <cfRule type="expression" dxfId="123" priority="54">
      <formula>ISNUMBER(SEARCH(TEXT($C17,"ddd"),$G$11))</formula>
    </cfRule>
  </conditionalFormatting>
  <conditionalFormatting sqref="N17:N26">
    <cfRule type="expression" dxfId="122" priority="52">
      <formula>ISNUMBER(SEARCH(TEXT($C17,"ddd"),$G$11))</formula>
    </cfRule>
  </conditionalFormatting>
  <conditionalFormatting sqref="N27">
    <cfRule type="expression" dxfId="121" priority="50">
      <formula>ISNUMBER(SEARCH(TEXT($B27,"ddd"),$F$10))</formula>
    </cfRule>
  </conditionalFormatting>
  <conditionalFormatting sqref="N28:N31 I75:L75 G75:H76 C75:F77 N75:N77 I76 J76:M77 G77:I77">
    <cfRule type="expression" dxfId="120" priority="55">
      <formula>ISNUMBER(SEARCH(TEXT($C28,"ddd"),$G$11))</formula>
    </cfRule>
  </conditionalFormatting>
  <dataValidations count="5">
    <dataValidation type="custom" allowBlank="1" showInputMessage="1" showErrorMessage="1" sqref="H75:H77 H51:H52 H17:H31" xr:uid="{00000000-0002-0000-2500-000000000000}">
      <formula1>AND($H17&lt;=1,ISNUMBER($H17),($H17&gt;=$G17))</formula1>
    </dataValidation>
    <dataValidation type="custom" allowBlank="1" showInputMessage="1" showErrorMessage="1" sqref="G75:G77 G51:G52 E17:G31" xr:uid="{00000000-0002-0000-2500-000001000000}">
      <formula1>AND($G17&lt;=1,ISNUMBER($G17))</formula1>
    </dataValidation>
    <dataValidation type="list" allowBlank="1" showInputMessage="1" showErrorMessage="1" sqref="H68 E11:F11" xr:uid="{00000000-0002-0000-2500-000002000000}">
      <formula1>NICOLAS!DateCalc</formula1>
    </dataValidation>
    <dataValidation type="list" allowBlank="1" showInputMessage="1" showErrorMessage="1" sqref="D11 H45" xr:uid="{00000000-0002-0000-2500-000003000000}">
      <formula1>DateCalc</formula1>
    </dataValidation>
    <dataValidation type="list" allowBlank="1" showInputMessage="1" showErrorMessage="1" sqref="I68 G11 D68:G68" xr:uid="{00000000-0002-0000-2500-000004000000}"/>
  </dataValidations>
  <pageMargins left="1.07083333333333" right="0.25" top="0.359722222222222" bottom="0.39791666666666697" header="0.29861111111111099" footer="0.29861111111111099"/>
  <pageSetup paperSize="9" scale="91" orientation="landscape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47841" r:id="rId4" name="Check Box 1">
              <controlPr defaultSize="0" print="0" autoPict="0">
                <anchor moveWithCells="1">
                  <from>
                    <xdr:col>7</xdr:col>
                    <xdr:colOff>180975</xdr:colOff>
                    <xdr:row>9</xdr:row>
                    <xdr:rowOff>28575</xdr:rowOff>
                  </from>
                  <to>
                    <xdr:col>8</xdr:col>
                    <xdr:colOff>571500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2500-000005000000}">
          <x14:formula1>
            <xm:f>Data!$B$2:$B$13</xm:f>
          </x14:formula1>
          <xm:sqref>C11 G45</xm:sqref>
        </x14:dataValidation>
        <x14:dataValidation type="list" allowBlank="1" showInputMessage="1" showErrorMessage="1" xr:uid="{00000000-0002-0000-2500-000006000000}">
          <x14:formula1>
            <xm:f>Data!$A$2:$A$12</xm:f>
          </x14:formula1>
          <xm:sqref>B11 D45:F45</xm:sqref>
        </x14:dataValidation>
        <x14:dataValidation type="list" allowBlank="1" showInputMessage="1" showErrorMessage="1" xr:uid="{00000000-0002-0000-2500-000007000000}">
          <x14:formula1>
            <xm:f>Data!$D$2:$D$16</xm:f>
          </x14:formula1>
          <xm:sqref>I45</xm:sqref>
        </x14:dataValidation>
      </x14:dataValidation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5:AH84"/>
  <sheetViews>
    <sheetView showGridLines="0" view="pageLayout" topLeftCell="A10" zoomScaleNormal="100" workbookViewId="0">
      <selection activeCell="L27" activeCellId="1" sqref="L20:N20 L27:N27"/>
    </sheetView>
  </sheetViews>
  <sheetFormatPr defaultColWidth="9" defaultRowHeight="12.75"/>
  <cols>
    <col min="1" max="1" width="1.625" customWidth="1"/>
    <col min="2" max="2" width="5.375" customWidth="1"/>
    <col min="3" max="3" width="7.125" customWidth="1"/>
    <col min="4" max="6" width="7.625" customWidth="1"/>
    <col min="7" max="7" width="10.125" customWidth="1"/>
    <col min="8" max="8" width="9.625" customWidth="1"/>
    <col min="9" max="9" width="8.125" customWidth="1"/>
    <col min="10" max="10" width="10.125" customWidth="1"/>
    <col min="11" max="11" width="7.875" customWidth="1"/>
    <col min="12" max="12" width="10.125" customWidth="1"/>
    <col min="13" max="13" width="9.125" customWidth="1"/>
    <col min="14" max="14" width="10.875" customWidth="1"/>
    <col min="15" max="15" width="16.875" customWidth="1"/>
    <col min="16" max="17" width="9.875"/>
    <col min="18" max="18" width="11.125" customWidth="1"/>
  </cols>
  <sheetData>
    <row r="5" spans="1:15" ht="25.5" customHeight="1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15" s="47" customFormat="1" ht="25.5" customHeight="1">
      <c r="A6" s="603"/>
      <c r="B6" s="603"/>
      <c r="C6" s="603"/>
      <c r="D6" s="603"/>
      <c r="E6" s="603"/>
      <c r="F6" s="603"/>
      <c r="G6" s="603"/>
      <c r="H6" s="603"/>
      <c r="I6" s="603"/>
      <c r="J6" s="603"/>
      <c r="K6" s="603"/>
      <c r="L6" s="603"/>
      <c r="M6" s="603"/>
      <c r="N6" s="603"/>
    </row>
    <row r="7" spans="1:15" ht="18.75" customHeight="1">
      <c r="C7" s="527" t="s">
        <v>3</v>
      </c>
      <c r="D7" s="527"/>
      <c r="E7" s="49"/>
      <c r="F7" s="49"/>
      <c r="G7" s="158" t="s">
        <v>194</v>
      </c>
      <c r="H7" s="51"/>
      <c r="K7" s="49" t="s">
        <v>174</v>
      </c>
      <c r="M7" s="599" t="str">
        <f>PAALAN!L7</f>
        <v>September  11-25, 2026</v>
      </c>
      <c r="N7" s="599"/>
      <c r="O7" s="599"/>
    </row>
    <row r="8" spans="1:15" ht="18.75" customHeight="1">
      <c r="C8" s="527" t="s">
        <v>175</v>
      </c>
      <c r="D8" s="527"/>
      <c r="E8" s="49"/>
      <c r="F8" s="49"/>
      <c r="G8" s="50" t="s">
        <v>195</v>
      </c>
      <c r="H8" s="51"/>
      <c r="K8" s="49" t="s">
        <v>176</v>
      </c>
      <c r="L8" s="92"/>
      <c r="M8" s="600" t="str">
        <f>PAALAN!L8</f>
        <v>9/31/2026</v>
      </c>
      <c r="N8" s="600"/>
      <c r="O8" s="600"/>
    </row>
    <row r="9" spans="1:15">
      <c r="C9" s="52"/>
      <c r="D9" s="53"/>
      <c r="E9" s="53"/>
      <c r="F9" s="53"/>
      <c r="G9" s="53"/>
    </row>
    <row r="10" spans="1:15">
      <c r="B10" s="54" t="s">
        <v>10</v>
      </c>
      <c r="C10" s="54" t="s">
        <v>11</v>
      </c>
      <c r="D10" s="54" t="s">
        <v>12</v>
      </c>
      <c r="E10" s="54"/>
      <c r="F10" s="54"/>
      <c r="G10" s="55" t="s">
        <v>13</v>
      </c>
    </row>
    <row r="11" spans="1:15">
      <c r="B11" s="56">
        <v>2025</v>
      </c>
      <c r="C11" s="56" t="s">
        <v>177</v>
      </c>
      <c r="D11" s="56">
        <v>11</v>
      </c>
      <c r="E11" s="56"/>
      <c r="F11" s="56"/>
      <c r="G11" s="56" t="s">
        <v>178</v>
      </c>
    </row>
    <row r="12" spans="1:15">
      <c r="B12" s="57"/>
      <c r="C12" s="57"/>
      <c r="H12" s="57"/>
      <c r="K12" s="57"/>
      <c r="L12" s="57"/>
      <c r="M12" s="57"/>
    </row>
    <row r="13" spans="1:15" ht="32.1" customHeight="1">
      <c r="B13" s="159" t="s">
        <v>16</v>
      </c>
      <c r="C13" s="159" t="s">
        <v>17</v>
      </c>
      <c r="D13" s="159" t="s">
        <v>18</v>
      </c>
      <c r="E13" s="160"/>
      <c r="F13" s="160"/>
      <c r="G13" s="160" t="s">
        <v>19</v>
      </c>
      <c r="H13" s="161" t="s">
        <v>179</v>
      </c>
      <c r="L13" s="93"/>
      <c r="M13" s="93"/>
      <c r="N13" s="94"/>
    </row>
    <row r="14" spans="1:15">
      <c r="B14" s="61">
        <v>0.29166666666666669</v>
      </c>
      <c r="C14" s="62">
        <v>14</v>
      </c>
      <c r="D14" s="63">
        <f>(13040/26)/8</f>
        <v>62.692307692307693</v>
      </c>
      <c r="E14" s="142"/>
      <c r="F14" s="142"/>
      <c r="G14" s="64">
        <f>(D14*25%)+D14</f>
        <v>78.365384615384613</v>
      </c>
      <c r="H14" s="65">
        <v>87.5</v>
      </c>
      <c r="I14" s="95"/>
      <c r="L14" s="57"/>
      <c r="M14" s="57"/>
      <c r="N14" s="95"/>
    </row>
    <row r="15" spans="1:15">
      <c r="N15" s="96"/>
    </row>
    <row r="16" spans="1:15" ht="23.25">
      <c r="B16" s="66"/>
      <c r="C16" s="67" t="s">
        <v>20</v>
      </c>
      <c r="D16" s="67" t="s">
        <v>12</v>
      </c>
      <c r="E16" s="67"/>
      <c r="F16" s="67"/>
      <c r="G16" s="67" t="s">
        <v>21</v>
      </c>
      <c r="H16" s="67" t="s">
        <v>22</v>
      </c>
      <c r="I16" s="68" t="s">
        <v>23</v>
      </c>
      <c r="J16" s="68" t="s">
        <v>24</v>
      </c>
      <c r="K16" s="68" t="s">
        <v>25</v>
      </c>
      <c r="L16" s="67" t="s">
        <v>180</v>
      </c>
      <c r="M16" s="134" t="s">
        <v>181</v>
      </c>
      <c r="N16" s="67" t="s">
        <v>26</v>
      </c>
    </row>
    <row r="17" spans="2:34">
      <c r="B17" s="69">
        <v>1</v>
      </c>
      <c r="C17" s="70">
        <f>DATE($B$11,MATCH($C$11,Data!$B$2:$B$13,0),AURELIO!$D$11)</f>
        <v>45911</v>
      </c>
      <c r="D17" s="71">
        <f>DATE($B$11,MATCH($C$11,Data!$B$2:$B$13,0),AURELIO!$D$11)</f>
        <v>45911</v>
      </c>
      <c r="E17" s="72">
        <v>0</v>
      </c>
      <c r="F17" s="72">
        <v>0</v>
      </c>
      <c r="G17" s="72">
        <f t="shared" ref="G17:G19" si="0">E17-F17</f>
        <v>0</v>
      </c>
      <c r="H17" s="72">
        <v>0</v>
      </c>
      <c r="I17" s="73">
        <v>0</v>
      </c>
      <c r="J17" s="73">
        <f t="shared" ref="J17:J19" si="1">IFERROR(IF(AND(G17&lt;&gt;"",H17&lt;&gt;""),IF(G17&gt;$B$14+TIME($C$14,($C$14-INT($C$14))*60,0),0,IF(H17&gt;$B$14+TIME($C$14,($C$14-INT($C$14))*60,0),MIN(TIME($C$14,($C$14-INT($C$14))*60,0),($B$14+TIME($C$14,($C$14-INT($C$14))*60,0)-G17)),MIN(IF((H17-$B$14)&lt;0,0,(H17-$B$14)),(H17-G17))))*24,"")-I17,"")</f>
        <v>0</v>
      </c>
      <c r="K17" s="73">
        <f t="shared" ref="K17:K19" si="2">IF(AND(G17&lt;&gt;"",H17&lt;&gt;""),((IF(G17&lt;$B$14,MIN($B$14-G17,H17-G17),0)+IF(H17&gt;$B$14+TIME($C$14,($C$14-INT($C$14))*60,0),MIN((H17-$B$14-TIME($C$14,($C$14-INT($C$14))*60,0)),(H17-G17)),0))*24),"")</f>
        <v>0</v>
      </c>
      <c r="L17" s="101">
        <v>0</v>
      </c>
      <c r="M17" s="102">
        <f>(D14/60)*0</f>
        <v>0</v>
      </c>
      <c r="N17" s="111">
        <f>IFERROR(J17*IF(AND(ISNUMBER(SEARCH(TEXT(C17,"ddd"),$G$11)),Data!$F$2),$G$14,$D$14)+K17*$G$14,"")</f>
        <v>0</v>
      </c>
      <c r="O17" s="141">
        <f t="shared" ref="O17:O31" si="3">M17+N17</f>
        <v>0</v>
      </c>
      <c r="P17" s="100"/>
      <c r="Q17" s="89"/>
    </row>
    <row r="18" spans="2:34">
      <c r="B18" s="69">
        <v>2</v>
      </c>
      <c r="C18" s="70">
        <f t="shared" ref="C18:C31" si="4">C17+1</f>
        <v>45912</v>
      </c>
      <c r="D18" s="71">
        <f t="shared" ref="D18:D31" si="5">D17+1</f>
        <v>45912</v>
      </c>
      <c r="E18" s="72">
        <v>0</v>
      </c>
      <c r="F18" s="72">
        <v>0</v>
      </c>
      <c r="G18" s="72">
        <f t="shared" si="0"/>
        <v>0</v>
      </c>
      <c r="H18" s="72">
        <v>0</v>
      </c>
      <c r="I18" s="73">
        <v>0</v>
      </c>
      <c r="J18" s="73">
        <f t="shared" si="1"/>
        <v>0</v>
      </c>
      <c r="K18" s="73">
        <f t="shared" si="2"/>
        <v>0</v>
      </c>
      <c r="L18" s="101">
        <v>0</v>
      </c>
      <c r="M18" s="102">
        <f>(D14/60)*0</f>
        <v>0</v>
      </c>
      <c r="N18" s="111">
        <f>IFERROR(J18*IF(AND(ISNUMBER(SEARCH(TEXT(C18,"ddd"),$G$11)),Data!$F$2),$G$14,$D$14)+K18*$G$14,"")</f>
        <v>0</v>
      </c>
      <c r="O18" s="141"/>
      <c r="P18" s="89"/>
      <c r="Q18" s="89"/>
    </row>
    <row r="19" spans="2:34">
      <c r="B19" s="69">
        <v>3</v>
      </c>
      <c r="C19" s="70">
        <f t="shared" si="4"/>
        <v>45913</v>
      </c>
      <c r="D19" s="71">
        <f t="shared" si="5"/>
        <v>45913</v>
      </c>
      <c r="E19" s="72">
        <v>0</v>
      </c>
      <c r="F19" s="72">
        <v>0</v>
      </c>
      <c r="G19" s="72">
        <f t="shared" si="0"/>
        <v>0</v>
      </c>
      <c r="H19" s="72">
        <v>0</v>
      </c>
      <c r="I19" s="73">
        <v>0</v>
      </c>
      <c r="J19" s="73">
        <f t="shared" si="1"/>
        <v>0</v>
      </c>
      <c r="K19" s="73">
        <f t="shared" si="2"/>
        <v>0</v>
      </c>
      <c r="L19" s="101">
        <v>0</v>
      </c>
      <c r="M19" s="102">
        <f>(D14/60)*0</f>
        <v>0</v>
      </c>
      <c r="N19" s="111">
        <f>IFERROR(J19*IF(AND(ISNUMBER(SEARCH(TEXT(C19,"ddd"),$G$11)),Data!$F$2),$G$14,$D$14)+K19*$G$14,"")</f>
        <v>0</v>
      </c>
      <c r="O19" s="141">
        <f t="shared" si="3"/>
        <v>0</v>
      </c>
      <c r="P19" s="100"/>
      <c r="Q19" s="104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</row>
    <row r="20" spans="2:34">
      <c r="B20" s="69">
        <v>4</v>
      </c>
      <c r="C20" s="70">
        <f t="shared" si="4"/>
        <v>45914</v>
      </c>
      <c r="D20" s="71">
        <f t="shared" si="5"/>
        <v>45914</v>
      </c>
      <c r="E20" s="72">
        <v>0.27777777777777779</v>
      </c>
      <c r="F20" s="72">
        <v>0</v>
      </c>
      <c r="G20" s="72">
        <f t="shared" ref="G20:G22" si="6">E20-F20</f>
        <v>0.27777777777777779</v>
      </c>
      <c r="H20" s="72">
        <v>0.70833333333333337</v>
      </c>
      <c r="I20" s="73">
        <v>1</v>
      </c>
      <c r="J20" s="73">
        <f t="shared" ref="J20:J29" si="7">IFERROR(IF(AND(G20&lt;&gt;"",H20&lt;&gt;""),IF(G20&gt;$B$14+TIME($C$14,($C$14-INT($C$14))*60,0),0,IF(H20&gt;$B$14+TIME($C$14,($C$14-INT($C$14))*60,0),MIN(TIME($C$14,($C$14-INT($C$14))*60,0),($B$14+TIME($C$14,($C$14-INT($C$14))*60,0)-G20)),MIN(IF((H20-$B$14)&lt;0,0,(H20-$B$14)),(H20-G20))))*24,"")-I20,"")</f>
        <v>9</v>
      </c>
      <c r="K20" s="73">
        <f t="shared" ref="K20:K29" si="8">IF(AND(G20&lt;&gt;"",H20&lt;&gt;""),((IF(G20&lt;$B$14,MIN($B$14-G20,H20-G20),0)+IF(H20&gt;$B$14+TIME($C$14,($C$14-INT($C$14))*60,0),MIN((H20-$B$14-TIME($C$14,($C$14-INT($C$14))*60,0)),(H20-G20)),0))*24),"")</f>
        <v>0.33333333333333348</v>
      </c>
      <c r="L20" s="97">
        <v>0</v>
      </c>
      <c r="M20" s="98">
        <f>(D14/60)*0</f>
        <v>0</v>
      </c>
      <c r="N20" s="251">
        <f>IFERROR(J20*IF(AND(ISNUMBER(SEARCH(TEXT(C20,"ddd"),$G$11)),Data!$F$2),$G$14,$D$14)+K20*$G$14,"")</f>
        <v>731.41025641025647</v>
      </c>
      <c r="O20" s="141">
        <f t="shared" si="3"/>
        <v>731.41025641025647</v>
      </c>
      <c r="P20" s="103"/>
      <c r="Q20" s="103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28"/>
    </row>
    <row r="21" spans="2:34">
      <c r="B21" s="69"/>
      <c r="C21" s="70">
        <f t="shared" si="4"/>
        <v>45915</v>
      </c>
      <c r="D21" s="71">
        <f t="shared" si="5"/>
        <v>45915</v>
      </c>
      <c r="E21" s="72">
        <v>0</v>
      </c>
      <c r="F21" s="72">
        <v>0</v>
      </c>
      <c r="G21" s="72">
        <f t="shared" ref="G21" si="9">E21-F21</f>
        <v>0</v>
      </c>
      <c r="H21" s="72">
        <v>0</v>
      </c>
      <c r="I21" s="73">
        <v>0</v>
      </c>
      <c r="J21" s="73">
        <f t="shared" ref="J21" si="10">IFERROR(IF(AND(G21&lt;&gt;"",H21&lt;&gt;""),IF(G21&gt;$B$14+TIME($C$14,($C$14-INT($C$14))*60,0),0,IF(H21&gt;$B$14+TIME($C$14,($C$14-INT($C$14))*60,0),MIN(TIME($C$14,($C$14-INT($C$14))*60,0),($B$14+TIME($C$14,($C$14-INT($C$14))*60,0)-G21)),MIN(IF((H21-$B$14)&lt;0,0,(H21-$B$14)),(H21-G21))))*24,"")-I21,"")</f>
        <v>0</v>
      </c>
      <c r="K21" s="73">
        <f t="shared" ref="K21" si="11">IF(AND(G21&lt;&gt;"",H21&lt;&gt;""),((IF(G21&lt;$B$14,MIN($B$14-G21,H21-G21),0)+IF(H21&gt;$B$14+TIME($C$14,($C$14-INT($C$14))*60,0),MIN((H21-$B$14-TIME($C$14,($C$14-INT($C$14))*60,0)),(H21-G21)),0))*24),"")</f>
        <v>0</v>
      </c>
      <c r="L21" s="101">
        <v>0</v>
      </c>
      <c r="M21" s="102">
        <f>(D14/60)*0</f>
        <v>0</v>
      </c>
      <c r="N21" s="111">
        <f>IFERROR(J21*IF(AND(ISNUMBER(SEARCH(TEXT(C21,"ddd"),$G$11)),Data!$F$2),$G$14,$D$14)+K21*$G$14,"")</f>
        <v>0</v>
      </c>
      <c r="O21" s="141">
        <f t="shared" si="3"/>
        <v>0</v>
      </c>
      <c r="P21" s="162">
        <f>N21-O21</f>
        <v>0</v>
      </c>
      <c r="Q21" s="108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4"/>
    </row>
    <row r="22" spans="2:34">
      <c r="B22" s="69">
        <v>5</v>
      </c>
      <c r="C22" s="70">
        <f t="shared" si="4"/>
        <v>45916</v>
      </c>
      <c r="D22" s="71">
        <f t="shared" si="5"/>
        <v>45916</v>
      </c>
      <c r="E22" s="72">
        <v>0.27986111111111112</v>
      </c>
      <c r="F22" s="72">
        <v>0</v>
      </c>
      <c r="G22" s="72">
        <f t="shared" si="6"/>
        <v>0.27986111111111112</v>
      </c>
      <c r="H22" s="72">
        <v>0.70833333333333337</v>
      </c>
      <c r="I22" s="73">
        <v>1</v>
      </c>
      <c r="J22" s="73">
        <f t="shared" si="7"/>
        <v>9</v>
      </c>
      <c r="K22" s="73">
        <f t="shared" si="8"/>
        <v>0.28333333333333366</v>
      </c>
      <c r="L22" s="101">
        <v>0</v>
      </c>
      <c r="M22" s="102">
        <f>(D14/60)*0</f>
        <v>0</v>
      </c>
      <c r="N22" s="111">
        <f>IFERROR(J22*IF(AND(ISNUMBER(SEARCH(TEXT(C22,"ddd"),$G$11)),Data!$F$2),$G$14,$D$14)+K22*$G$14,"")</f>
        <v>586.43429487179492</v>
      </c>
      <c r="O22" s="141">
        <f t="shared" si="3"/>
        <v>586.43429487179492</v>
      </c>
      <c r="P22" s="163"/>
      <c r="Q22" s="135"/>
      <c r="R22" s="96">
        <v>0.40486111111111101</v>
      </c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4"/>
    </row>
    <row r="23" spans="2:34">
      <c r="B23" s="69">
        <v>6</v>
      </c>
      <c r="C23" s="70">
        <f t="shared" si="4"/>
        <v>45917</v>
      </c>
      <c r="D23" s="71">
        <f t="shared" si="5"/>
        <v>45917</v>
      </c>
      <c r="E23" s="72">
        <v>0</v>
      </c>
      <c r="F23" s="72">
        <v>0</v>
      </c>
      <c r="G23" s="72">
        <f t="shared" ref="G23:G24" si="12">E23-F23</f>
        <v>0</v>
      </c>
      <c r="H23" s="72">
        <v>0</v>
      </c>
      <c r="I23" s="73">
        <v>0</v>
      </c>
      <c r="J23" s="73">
        <f t="shared" ref="J23:J24" si="13">IFERROR(IF(AND(G23&lt;&gt;"",H23&lt;&gt;""),IF(G23&gt;$B$14+TIME($C$14,($C$14-INT($C$14))*60,0),0,IF(H23&gt;$B$14+TIME($C$14,($C$14-INT($C$14))*60,0),MIN(TIME($C$14,($C$14-INT($C$14))*60,0),($B$14+TIME($C$14,($C$14-INT($C$14))*60,0)-G23)),MIN(IF((H23-$B$14)&lt;0,0,(H23-$B$14)),(H23-G23))))*24,"")-I23,"")</f>
        <v>0</v>
      </c>
      <c r="K23" s="73">
        <f t="shared" si="8"/>
        <v>0</v>
      </c>
      <c r="L23" s="97">
        <v>0</v>
      </c>
      <c r="M23" s="98">
        <f>(D14/60)*0</f>
        <v>0</v>
      </c>
      <c r="N23" s="251">
        <f>IFERROR(J23*IF(AND(ISNUMBER(SEARCH(TEXT(C23,"ddd"),$G$11)),Data!$F$2),$G$14,$D$14)+K23*$G$14,"")</f>
        <v>0</v>
      </c>
      <c r="O23" s="141">
        <f t="shared" si="3"/>
        <v>0</v>
      </c>
      <c r="P23" s="150"/>
      <c r="Q23" s="89"/>
      <c r="R23" s="96">
        <v>1.0416666666666701E-2</v>
      </c>
    </row>
    <row r="24" spans="2:34">
      <c r="B24" s="69">
        <v>7</v>
      </c>
      <c r="C24" s="70">
        <f t="shared" si="4"/>
        <v>45918</v>
      </c>
      <c r="D24" s="71">
        <f t="shared" si="5"/>
        <v>45918</v>
      </c>
      <c r="E24" s="72">
        <v>0</v>
      </c>
      <c r="F24" s="72">
        <v>0</v>
      </c>
      <c r="G24" s="72">
        <f t="shared" si="12"/>
        <v>0</v>
      </c>
      <c r="H24" s="72">
        <v>0</v>
      </c>
      <c r="I24" s="73">
        <v>0</v>
      </c>
      <c r="J24" s="73">
        <f t="shared" si="13"/>
        <v>0</v>
      </c>
      <c r="K24" s="73">
        <v>0</v>
      </c>
      <c r="L24" s="101">
        <v>0</v>
      </c>
      <c r="M24" s="102">
        <f>(D14/60)*0</f>
        <v>0</v>
      </c>
      <c r="N24" s="111">
        <f>IFERROR(J24*IF(AND(ISNUMBER(SEARCH(TEXT(C24,"ddd"),$G$11)),Data!$F$2),$G$14,$D$14)+K24*$G$14,"")</f>
        <v>0</v>
      </c>
      <c r="O24" s="141">
        <f t="shared" si="3"/>
        <v>0</v>
      </c>
      <c r="P24" s="155"/>
      <c r="Q24" s="89"/>
      <c r="R24" s="129">
        <f>R22-R23</f>
        <v>0.39444444444444432</v>
      </c>
    </row>
    <row r="25" spans="2:34">
      <c r="B25" s="69">
        <v>8</v>
      </c>
      <c r="C25" s="70">
        <f t="shared" si="4"/>
        <v>45919</v>
      </c>
      <c r="D25" s="71">
        <f t="shared" si="5"/>
        <v>45919</v>
      </c>
      <c r="E25" s="72">
        <v>0</v>
      </c>
      <c r="F25" s="72">
        <v>0</v>
      </c>
      <c r="G25" s="72">
        <f t="shared" ref="G25:G29" si="14">E25-F25</f>
        <v>0</v>
      </c>
      <c r="H25" s="72">
        <v>0</v>
      </c>
      <c r="I25" s="73">
        <v>0</v>
      </c>
      <c r="J25" s="73">
        <f t="shared" si="7"/>
        <v>0</v>
      </c>
      <c r="K25" s="73">
        <f t="shared" si="8"/>
        <v>0</v>
      </c>
      <c r="L25" s="101">
        <v>0</v>
      </c>
      <c r="M25" s="102">
        <f>(D14/60)*0</f>
        <v>0</v>
      </c>
      <c r="N25" s="111">
        <f>IFERROR(J25*IF(AND(ISNUMBER(SEARCH(TEXT(C25,"ddd"),$G$11)),Data!$F$2),$G$14,$D$14)+K25*$G$14,"")</f>
        <v>0</v>
      </c>
      <c r="O25" s="141">
        <f t="shared" si="3"/>
        <v>0</v>
      </c>
      <c r="P25" s="89"/>
      <c r="Q25" s="89"/>
    </row>
    <row r="26" spans="2:34">
      <c r="B26" s="69">
        <v>9</v>
      </c>
      <c r="C26" s="70">
        <f t="shared" si="4"/>
        <v>45920</v>
      </c>
      <c r="D26" s="71">
        <f t="shared" si="5"/>
        <v>45920</v>
      </c>
      <c r="E26" s="72">
        <v>0</v>
      </c>
      <c r="F26" s="72">
        <v>0</v>
      </c>
      <c r="G26" s="72">
        <f t="shared" ref="G26" si="15">E26-F26</f>
        <v>0</v>
      </c>
      <c r="H26" s="72">
        <v>0</v>
      </c>
      <c r="I26" s="73">
        <v>0</v>
      </c>
      <c r="J26" s="73">
        <f t="shared" ref="J26" si="16">IFERROR(IF(AND(G26&lt;&gt;"",H26&lt;&gt;""),IF(G26&gt;$B$14+TIME($C$14,($C$14-INT($C$14))*60,0),0,IF(H26&gt;$B$14+TIME($C$14,($C$14-INT($C$14))*60,0),MIN(TIME($C$14,($C$14-INT($C$14))*60,0),($B$14+TIME($C$14,($C$14-INT($C$14))*60,0)-G26)),MIN(IF((H26-$B$14)&lt;0,0,(H26-$B$14)),(H26-G26))))*24,"")-I26,"")</f>
        <v>0</v>
      </c>
      <c r="K26" s="73">
        <f t="shared" ref="K26" si="17">IF(AND(G26&lt;&gt;"",H26&lt;&gt;""),((IF(G26&lt;$B$14,MIN($B$14-G26,H26-G26),0)+IF(H26&gt;$B$14+TIME($C$14,($C$14-INT($C$14))*60,0),MIN((H26-$B$14-TIME($C$14,($C$14-INT($C$14))*60,0)),(H26-G26)),0))*24),"")</f>
        <v>0</v>
      </c>
      <c r="L26" s="101">
        <v>0</v>
      </c>
      <c r="M26" s="102">
        <f>(D14/60)*0</f>
        <v>0</v>
      </c>
      <c r="N26" s="111">
        <f>IFERROR(J26*IF(AND(ISNUMBER(SEARCH(TEXT(C26,"ddd"),$G$11)),Data!$F$2),$G$14,$D$14)+K26*$G$14,"")</f>
        <v>0</v>
      </c>
      <c r="O26" s="141">
        <f t="shared" si="3"/>
        <v>0</v>
      </c>
      <c r="P26" s="89"/>
      <c r="Q26" s="89"/>
    </row>
    <row r="27" spans="2:34">
      <c r="B27" s="69">
        <v>10</v>
      </c>
      <c r="C27" s="70">
        <f t="shared" si="4"/>
        <v>45921</v>
      </c>
      <c r="D27" s="71">
        <f t="shared" si="5"/>
        <v>45921</v>
      </c>
      <c r="E27" s="72">
        <v>0</v>
      </c>
      <c r="F27" s="72">
        <v>0</v>
      </c>
      <c r="G27" s="72">
        <f t="shared" ref="G27" si="18">E27-F27</f>
        <v>0</v>
      </c>
      <c r="H27" s="72">
        <v>0</v>
      </c>
      <c r="I27" s="73">
        <v>0</v>
      </c>
      <c r="J27" s="73">
        <f t="shared" si="7"/>
        <v>0</v>
      </c>
      <c r="K27" s="73">
        <f t="shared" si="8"/>
        <v>0</v>
      </c>
      <c r="L27" s="97">
        <v>0</v>
      </c>
      <c r="M27" s="98">
        <f>(D14/60)*0</f>
        <v>0</v>
      </c>
      <c r="N27" s="251">
        <f>IFERROR(J27*IF(AND(ISNUMBER(SEARCH(TEXT(C27,"ddd"),$G$11)),Data!$F$2),$G$14,$D$14)+K27*$G$14,"")</f>
        <v>0</v>
      </c>
      <c r="O27" s="141">
        <f t="shared" si="3"/>
        <v>0</v>
      </c>
      <c r="P27" s="127">
        <f>O27-N27</f>
        <v>0</v>
      </c>
      <c r="Q27" s="89"/>
    </row>
    <row r="28" spans="2:34">
      <c r="B28" s="69"/>
      <c r="C28" s="70">
        <f t="shared" si="4"/>
        <v>45922</v>
      </c>
      <c r="D28" s="71">
        <f t="shared" si="5"/>
        <v>45922</v>
      </c>
      <c r="E28" s="72">
        <v>0</v>
      </c>
      <c r="F28" s="72">
        <v>0</v>
      </c>
      <c r="G28" s="72">
        <f t="shared" ref="G28" si="19">E28-F28</f>
        <v>0</v>
      </c>
      <c r="H28" s="72">
        <v>0</v>
      </c>
      <c r="I28" s="73">
        <v>0</v>
      </c>
      <c r="J28" s="73">
        <f t="shared" ref="J28" si="20">IFERROR(IF(AND(G28&lt;&gt;"",H28&lt;&gt;""),IF(G28&gt;$B$14+TIME($C$14,($C$14-INT($C$14))*60,0),0,IF(H28&gt;$B$14+TIME($C$14,($C$14-INT($C$14))*60,0),MIN(TIME($C$14,($C$14-INT($C$14))*60,0),($B$14+TIME($C$14,($C$14-INT($C$14))*60,0)-G28)),MIN(IF((H28-$B$14)&lt;0,0,(H28-$B$14)),(H28-G28))))*24,"")-I28,"")</f>
        <v>0</v>
      </c>
      <c r="K28" s="73">
        <f t="shared" ref="K28" si="21">IF(AND(G28&lt;&gt;"",H28&lt;&gt;""),((IF(G28&lt;$B$14,MIN($B$14-G28,H28-G28),0)+IF(H28&gt;$B$14+TIME($C$14,($C$14-INT($C$14))*60,0),MIN((H28-$B$14-TIME($C$14,($C$14-INT($C$14))*60,0)),(H28-G28)),0))*24),"")</f>
        <v>0</v>
      </c>
      <c r="L28" s="101">
        <v>0</v>
      </c>
      <c r="M28" s="102">
        <f>(D14/60)*0</f>
        <v>0</v>
      </c>
      <c r="N28" s="111">
        <f>IFERROR(J28*IF(AND(ISNUMBER(SEARCH(TEXT(C28,"ddd"),$G$11)),Data!$F$2),$G$14,$D$14)+K28*$G$14,"")</f>
        <v>0</v>
      </c>
      <c r="O28" s="141">
        <f t="shared" si="3"/>
        <v>0</v>
      </c>
      <c r="Q28" s="89"/>
    </row>
    <row r="29" spans="2:34">
      <c r="B29" s="69">
        <v>11</v>
      </c>
      <c r="C29" s="70">
        <f t="shared" si="4"/>
        <v>45923</v>
      </c>
      <c r="D29" s="71">
        <f t="shared" si="5"/>
        <v>45923</v>
      </c>
      <c r="E29" s="72">
        <v>0</v>
      </c>
      <c r="F29" s="72">
        <v>0</v>
      </c>
      <c r="G29" s="72">
        <f t="shared" si="14"/>
        <v>0</v>
      </c>
      <c r="H29" s="72">
        <v>0</v>
      </c>
      <c r="I29" s="73">
        <v>0</v>
      </c>
      <c r="J29" s="73">
        <f t="shared" si="7"/>
        <v>0</v>
      </c>
      <c r="K29" s="73">
        <f t="shared" si="8"/>
        <v>0</v>
      </c>
      <c r="L29" s="101">
        <v>0</v>
      </c>
      <c r="M29" s="102">
        <f>(D14/60)*0</f>
        <v>0</v>
      </c>
      <c r="N29" s="111">
        <f>IFERROR(J29*IF(AND(ISNUMBER(SEARCH(TEXT(C29,"ddd"),$G$11)),Data!$F$2),$G$14,$D$14)+K29*$G$14,"")</f>
        <v>0</v>
      </c>
      <c r="O29" s="141">
        <f t="shared" si="3"/>
        <v>0</v>
      </c>
      <c r="Q29" s="89"/>
    </row>
    <row r="30" spans="2:34">
      <c r="B30" s="69">
        <v>12</v>
      </c>
      <c r="C30" s="70">
        <f t="shared" si="4"/>
        <v>45924</v>
      </c>
      <c r="D30" s="71">
        <f t="shared" si="5"/>
        <v>45924</v>
      </c>
      <c r="E30" s="72">
        <v>0</v>
      </c>
      <c r="F30" s="72">
        <v>0</v>
      </c>
      <c r="G30" s="72">
        <f t="shared" ref="G30:G31" si="22">E30-F30</f>
        <v>0</v>
      </c>
      <c r="H30" s="72">
        <v>0</v>
      </c>
      <c r="I30" s="73">
        <v>0</v>
      </c>
      <c r="J30" s="73">
        <f t="shared" ref="J30:J31" si="23">IFERROR(IF(AND(G30&lt;&gt;"",H30&lt;&gt;""),IF(G30&gt;$B$14+TIME($C$14,($C$14-INT($C$14))*60,0),0,IF(H30&gt;$B$14+TIME($C$14,($C$14-INT($C$14))*60,0),MIN(TIME($C$14,($C$14-INT($C$14))*60,0),($B$14+TIME($C$14,($C$14-INT($C$14))*60,0)-G30)),MIN(IF((H30-$B$14)&lt;0,0,(H30-$B$14)),(H30-G30))))*24,"")-I30,"")</f>
        <v>0</v>
      </c>
      <c r="K30" s="73">
        <f t="shared" ref="K30:K31" si="24">IF(AND(G30&lt;&gt;"",H30&lt;&gt;""),((IF(G30&lt;$B$14,MIN($B$14-G30,H30-G30),0)+IF(H30&gt;$B$14+TIME($C$14,($C$14-INT($C$14))*60,0),MIN((H30-$B$14-TIME($C$14,($C$14-INT($C$14))*60,0)),(H30-G30)),0))*24),"")</f>
        <v>0</v>
      </c>
      <c r="L30" s="97">
        <v>0</v>
      </c>
      <c r="M30" s="98">
        <f>(D14/60)*0</f>
        <v>0</v>
      </c>
      <c r="N30" s="251">
        <f>IFERROR(J30*IF(AND(ISNUMBER(SEARCH(TEXT(C30,"ddd"),$G$11)),Data!$F$2),$G$14,$D$14)+K30*$G$14,"")</f>
        <v>0</v>
      </c>
      <c r="O30" s="141">
        <f t="shared" si="3"/>
        <v>0</v>
      </c>
      <c r="P30" s="127"/>
      <c r="Q30" s="89"/>
    </row>
    <row r="31" spans="2:34">
      <c r="B31" s="69">
        <v>13</v>
      </c>
      <c r="C31" s="70">
        <f t="shared" si="4"/>
        <v>45925</v>
      </c>
      <c r="D31" s="71">
        <f t="shared" si="5"/>
        <v>45925</v>
      </c>
      <c r="E31" s="72">
        <v>0</v>
      </c>
      <c r="F31" s="72">
        <v>0</v>
      </c>
      <c r="G31" s="72">
        <f t="shared" si="22"/>
        <v>0</v>
      </c>
      <c r="H31" s="72">
        <v>0</v>
      </c>
      <c r="I31" s="73">
        <v>0</v>
      </c>
      <c r="J31" s="73">
        <f t="shared" si="23"/>
        <v>0</v>
      </c>
      <c r="K31" s="73">
        <f t="shared" si="24"/>
        <v>0</v>
      </c>
      <c r="L31" s="101">
        <v>0</v>
      </c>
      <c r="M31" s="102">
        <f>(D14/60)*0</f>
        <v>0</v>
      </c>
      <c r="N31" s="111">
        <f>IFERROR(J31*IF(AND(ISNUMBER(SEARCH(TEXT(C31,"ddd"),$G$11)),Data!$F$2),$G$14,$D$14)+K31*$G$14,"")</f>
        <v>0</v>
      </c>
      <c r="O31" s="141">
        <f t="shared" si="3"/>
        <v>0</v>
      </c>
    </row>
    <row r="32" spans="2:34">
      <c r="B32" s="66"/>
      <c r="C32" s="76"/>
      <c r="D32" s="77"/>
      <c r="E32" s="144"/>
      <c r="F32" s="144"/>
      <c r="G32" s="597" t="s">
        <v>182</v>
      </c>
      <c r="H32" s="598"/>
      <c r="I32" s="80">
        <f>SUM(I17:I31)</f>
        <v>2</v>
      </c>
      <c r="J32" s="80">
        <f>SUM(J17:J31)</f>
        <v>18</v>
      </c>
      <c r="K32" s="80">
        <f>SUM(K17:K31)</f>
        <v>0.61666666666666714</v>
      </c>
      <c r="L32" s="80">
        <f>SUM(L17:L31)</f>
        <v>0</v>
      </c>
      <c r="M32" s="80">
        <f>SUM(M17:M31)</f>
        <v>0</v>
      </c>
      <c r="N32" s="66"/>
      <c r="O32" s="165">
        <f>SUM(N17:N31)</f>
        <v>1317.8445512820513</v>
      </c>
    </row>
    <row r="33" spans="2:17">
      <c r="B33" s="66"/>
      <c r="C33" s="76"/>
      <c r="D33" s="77"/>
      <c r="E33" s="144"/>
      <c r="F33" s="144"/>
      <c r="G33" s="81" t="s">
        <v>39</v>
      </c>
      <c r="H33" s="82"/>
      <c r="I33" s="83"/>
      <c r="J33" s="84"/>
      <c r="K33" s="116"/>
      <c r="L33" s="117">
        <f>(D14/60)*0</f>
        <v>0</v>
      </c>
      <c r="M33" s="118"/>
      <c r="N33" s="166">
        <f>D14*J36</f>
        <v>1167.1217948717949</v>
      </c>
      <c r="O33" s="95">
        <f>SUM(N17:N31)</f>
        <v>1317.8445512820513</v>
      </c>
      <c r="P33" s="95"/>
      <c r="Q33" s="95"/>
    </row>
    <row r="34" spans="2:17">
      <c r="B34" s="65"/>
      <c r="C34" s="65"/>
      <c r="D34" s="85"/>
      <c r="E34" s="85"/>
      <c r="F34" s="85"/>
      <c r="G34" s="592" t="s">
        <v>183</v>
      </c>
      <c r="H34" s="592"/>
      <c r="I34" s="80"/>
      <c r="J34" s="80">
        <f>H14-J32</f>
        <v>69.5</v>
      </c>
      <c r="K34" s="65"/>
      <c r="L34" s="120" t="s">
        <v>192</v>
      </c>
      <c r="M34" s="65"/>
      <c r="N34" s="121">
        <f>M32</f>
        <v>0</v>
      </c>
      <c r="O34" s="151">
        <f>O32-O33</f>
        <v>0</v>
      </c>
      <c r="P34" s="95"/>
      <c r="Q34" s="95"/>
    </row>
    <row r="35" spans="2:17">
      <c r="B35" s="65"/>
      <c r="C35" s="65"/>
      <c r="D35" s="85"/>
      <c r="E35" s="145"/>
      <c r="F35" s="145"/>
      <c r="G35" s="78" t="s">
        <v>41</v>
      </c>
      <c r="H35" s="79"/>
      <c r="I35" s="66"/>
      <c r="J35" s="66"/>
      <c r="K35" s="80"/>
      <c r="L35" s="80"/>
      <c r="M35" s="80"/>
      <c r="N35" s="121">
        <f>N33-N34</f>
        <v>1167.1217948717949</v>
      </c>
      <c r="O35" s="95"/>
      <c r="P35" s="95"/>
      <c r="Q35" s="95"/>
    </row>
    <row r="36" spans="2:17">
      <c r="B36" s="65"/>
      <c r="C36" s="65"/>
      <c r="D36" s="85"/>
      <c r="E36" s="146"/>
      <c r="F36" s="146"/>
      <c r="G36" s="604" t="s">
        <v>184</v>
      </c>
      <c r="H36" s="605"/>
      <c r="I36" s="80"/>
      <c r="J36" s="401">
        <f>J32+K32</f>
        <v>18.616666666666667</v>
      </c>
      <c r="K36" s="122"/>
      <c r="L36" s="122"/>
      <c r="M36" s="122"/>
      <c r="N36" s="123"/>
      <c r="O36" s="95"/>
    </row>
    <row r="37" spans="2:17">
      <c r="B37" s="65"/>
      <c r="C37" s="65"/>
      <c r="D37" s="85"/>
      <c r="E37" s="146"/>
      <c r="F37" s="146"/>
      <c r="G37" s="86" t="s">
        <v>185</v>
      </c>
      <c r="H37" s="87"/>
      <c r="I37" s="80"/>
      <c r="J37" s="66"/>
      <c r="K37" s="122"/>
      <c r="L37" s="122"/>
      <c r="M37" s="122"/>
      <c r="N37" s="123">
        <f>N53</f>
        <v>1241.3086153846152</v>
      </c>
      <c r="O37" s="95"/>
    </row>
    <row r="38" spans="2:17">
      <c r="B38" s="65"/>
      <c r="C38" s="65"/>
      <c r="D38" s="85"/>
      <c r="E38" s="145"/>
      <c r="F38" s="145"/>
      <c r="G38" s="597" t="s">
        <v>186</v>
      </c>
      <c r="H38" s="598"/>
      <c r="I38" s="66"/>
      <c r="J38" s="66"/>
      <c r="K38" s="66"/>
      <c r="L38" s="66"/>
      <c r="M38" s="66"/>
      <c r="N38" s="124">
        <f>N35+N36+N37</f>
        <v>2408.4304102564101</v>
      </c>
      <c r="O38" s="95"/>
    </row>
    <row r="39" spans="2:17">
      <c r="D39" s="88"/>
      <c r="E39" s="88"/>
      <c r="F39" s="88"/>
      <c r="G39" s="589"/>
      <c r="H39" s="589"/>
      <c r="I39" s="90"/>
      <c r="J39" s="90"/>
      <c r="K39" s="125"/>
      <c r="L39" s="125"/>
      <c r="M39" s="125"/>
      <c r="N39" s="126"/>
      <c r="O39" s="127"/>
    </row>
    <row r="40" spans="2:17">
      <c r="D40" s="91"/>
      <c r="E40" s="91"/>
      <c r="F40" s="91"/>
      <c r="M40" t="s">
        <v>196</v>
      </c>
    </row>
    <row r="41" spans="2:17">
      <c r="B41" s="590" t="s">
        <v>187</v>
      </c>
      <c r="C41" s="590"/>
      <c r="D41" s="590"/>
      <c r="E41" s="590"/>
      <c r="F41" s="590"/>
      <c r="G41" s="590"/>
      <c r="H41" s="590"/>
      <c r="I41" s="590"/>
      <c r="J41" s="590"/>
      <c r="K41" s="590"/>
      <c r="L41" s="590"/>
      <c r="M41" s="590"/>
      <c r="N41" s="590"/>
    </row>
    <row r="42" spans="2:17">
      <c r="D42" s="91"/>
      <c r="E42" s="91"/>
      <c r="F42" s="91"/>
    </row>
    <row r="43" spans="2:17">
      <c r="D43" s="91" t="s">
        <v>188</v>
      </c>
      <c r="E43" s="91"/>
      <c r="F43" s="91"/>
      <c r="N43" s="95"/>
    </row>
    <row r="44" spans="2:17">
      <c r="D44" s="54" t="s">
        <v>10</v>
      </c>
      <c r="E44" s="54"/>
      <c r="F44" s="54"/>
      <c r="G44" s="54" t="s">
        <v>11</v>
      </c>
      <c r="H44" s="54" t="s">
        <v>12</v>
      </c>
      <c r="I44" s="55" t="s">
        <v>13</v>
      </c>
    </row>
    <row r="45" spans="2:17">
      <c r="D45" s="56">
        <v>2025</v>
      </c>
      <c r="E45" s="56"/>
      <c r="F45" s="56"/>
      <c r="G45" s="56" t="s">
        <v>204</v>
      </c>
      <c r="H45" s="56">
        <v>12</v>
      </c>
      <c r="I45" s="56" t="s">
        <v>15</v>
      </c>
    </row>
    <row r="46" spans="2:17">
      <c r="D46" s="57"/>
      <c r="E46" s="57"/>
      <c r="F46" s="57"/>
      <c r="G46" s="57"/>
    </row>
    <row r="47" spans="2:17" ht="33.75">
      <c r="D47" s="159" t="s">
        <v>16</v>
      </c>
      <c r="E47" s="159"/>
      <c r="F47" s="159"/>
      <c r="G47" s="159" t="s">
        <v>17</v>
      </c>
      <c r="H47" s="159" t="s">
        <v>18</v>
      </c>
      <c r="I47" s="159" t="s">
        <v>19</v>
      </c>
    </row>
    <row r="48" spans="2:17">
      <c r="D48" s="61">
        <v>0.33333333333333298</v>
      </c>
      <c r="E48" s="61"/>
      <c r="F48" s="61"/>
      <c r="G48" s="62">
        <v>9.5</v>
      </c>
      <c r="H48" s="63">
        <f>D14</f>
        <v>62.692307692307693</v>
      </c>
      <c r="I48" s="130">
        <f>(H48*30%)+H48</f>
        <v>81.5</v>
      </c>
    </row>
    <row r="50" spans="3:14">
      <c r="C50" s="131" t="s">
        <v>20</v>
      </c>
      <c r="D50" s="131" t="s">
        <v>12</v>
      </c>
      <c r="E50" s="131"/>
      <c r="F50" s="131"/>
      <c r="G50" s="131" t="s">
        <v>21</v>
      </c>
      <c r="H50" s="131" t="s">
        <v>22</v>
      </c>
      <c r="I50" s="131" t="s">
        <v>23</v>
      </c>
      <c r="J50" s="131" t="s">
        <v>24</v>
      </c>
      <c r="K50" s="131" t="s">
        <v>25</v>
      </c>
      <c r="L50" s="131"/>
      <c r="M50" s="131"/>
      <c r="N50" s="131" t="s">
        <v>26</v>
      </c>
    </row>
    <row r="51" spans="3:14">
      <c r="C51" s="70" t="s">
        <v>352</v>
      </c>
      <c r="D51" s="71">
        <v>45820</v>
      </c>
      <c r="E51" s="71"/>
      <c r="F51" s="71"/>
      <c r="G51" s="72">
        <v>0.28680555555555554</v>
      </c>
      <c r="H51" s="72">
        <v>0.66666666666666663</v>
      </c>
      <c r="I51" s="73">
        <v>1</v>
      </c>
      <c r="J51" s="73">
        <f>IFERROR(IF(AND(G51&lt;&gt;"",H51&lt;&gt;""),IF(G51&gt;$B$14+TIME($C$14,($C$14-INT($C$14))*60,0),0,IF(H51&gt;$B$14+TIME($C$14,($C$14-INT($C$14))*60,0),MIN(TIME($C$14,($C$14-INT($C$14))*60,0),($B$14+TIME($C$14,($C$14-INT($C$14))*60,0)-G51)),MIN(IF((H51-$B$14)&lt;0,0,(H51-$B$14)),(H51-G51))))*24,"")-I51,"")</f>
        <v>7.9999999999999982</v>
      </c>
      <c r="K51" s="73">
        <v>0</v>
      </c>
      <c r="L51" s="73"/>
      <c r="M51" s="73"/>
      <c r="N51" s="99">
        <f>(J51*H48)+(501.54*30%)</f>
        <v>652.00046153846142</v>
      </c>
    </row>
    <row r="52" spans="3:14">
      <c r="C52" s="70" t="s">
        <v>210</v>
      </c>
      <c r="D52" s="71">
        <v>23</v>
      </c>
      <c r="E52" s="71"/>
      <c r="F52" s="71"/>
      <c r="G52" s="72">
        <v>0.28680555555555554</v>
      </c>
      <c r="H52" s="72">
        <v>0.66666666666666663</v>
      </c>
      <c r="I52" s="73">
        <v>2</v>
      </c>
      <c r="J52" s="73">
        <f>IFERROR(IF(AND(G52&lt;&gt;"",H52&lt;&gt;""),IF(G52&gt;$B$14+TIME($C$14,($C$14-INT($C$14))*60,0),0,IF(H52&gt;$B$14+TIME($C$14,($C$14-INT($C$14))*60,0),MIN(TIME($C$14,($C$14-INT($C$14))*60,0),($B$14+TIME($C$14,($C$14-INT($C$14))*60,0)-G52)),MIN(IF((H52-$B$14)&lt;0,0,(H52-$B$14)),(H52-G52))))*24,"")-I52,"")</f>
        <v>6.9999999999999982</v>
      </c>
      <c r="K52" s="73">
        <v>1</v>
      </c>
      <c r="L52" s="73"/>
      <c r="M52" s="73"/>
      <c r="N52" s="99">
        <f>(J52*H48)+(501.54*30%)</f>
        <v>589.3081538461538</v>
      </c>
    </row>
    <row r="53" spans="3:14"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318">
        <f>SUM(N51:N52)</f>
        <v>1241.3086153846152</v>
      </c>
    </row>
    <row r="54" spans="3:14">
      <c r="N54" s="138"/>
    </row>
    <row r="55" spans="3:14">
      <c r="C55" s="132" t="s">
        <v>190</v>
      </c>
      <c r="D55" s="132"/>
      <c r="N55" s="138"/>
    </row>
    <row r="56" spans="3:14">
      <c r="N56" s="138"/>
    </row>
    <row r="57" spans="3:14">
      <c r="N57" s="138"/>
    </row>
    <row r="58" spans="3:14">
      <c r="C58" s="591">
        <v>44981</v>
      </c>
      <c r="D58" s="591"/>
      <c r="E58" s="591"/>
      <c r="F58" s="88">
        <v>0</v>
      </c>
      <c r="G58" s="148" t="s">
        <v>280</v>
      </c>
      <c r="H58" s="254"/>
      <c r="N58" s="138"/>
    </row>
    <row r="59" spans="3:14">
      <c r="D59" s="88"/>
      <c r="E59" s="88"/>
      <c r="F59" s="256">
        <f>F58*G59</f>
        <v>0</v>
      </c>
      <c r="G59" s="253">
        <v>0.3</v>
      </c>
      <c r="H59" s="254"/>
      <c r="N59" s="138"/>
    </row>
    <row r="60" spans="3:14">
      <c r="D60" s="91"/>
      <c r="E60" s="91"/>
      <c r="F60" s="91"/>
      <c r="N60" s="138"/>
    </row>
    <row r="61" spans="3:14">
      <c r="D61" s="91"/>
      <c r="E61" s="91"/>
      <c r="F61" s="91"/>
      <c r="G61" s="257">
        <f>F59</f>
        <v>0</v>
      </c>
      <c r="N61" s="138"/>
    </row>
    <row r="62" spans="3:14">
      <c r="N62" s="138"/>
    </row>
    <row r="63" spans="3:14">
      <c r="N63" s="138"/>
    </row>
    <row r="64" spans="3:14">
      <c r="D64" s="132"/>
      <c r="E64" s="132"/>
      <c r="F64" s="132"/>
      <c r="G64" s="133"/>
      <c r="H64" s="133"/>
      <c r="I64" s="133"/>
    </row>
    <row r="65" spans="3:14">
      <c r="D65" s="132"/>
      <c r="E65" s="132"/>
      <c r="F65" s="132"/>
      <c r="G65" s="133"/>
      <c r="H65" s="133"/>
      <c r="I65" s="133"/>
    </row>
    <row r="66" spans="3:14">
      <c r="F66" s="132"/>
      <c r="G66" s="133"/>
      <c r="H66" s="133"/>
      <c r="I66" s="133"/>
    </row>
    <row r="67" spans="3:14" hidden="1">
      <c r="D67" s="54" t="s">
        <v>10</v>
      </c>
      <c r="E67" s="54"/>
      <c r="F67" s="54"/>
      <c r="G67" s="54" t="s">
        <v>11</v>
      </c>
      <c r="H67" s="54" t="s">
        <v>12</v>
      </c>
      <c r="I67" s="55" t="s">
        <v>13</v>
      </c>
    </row>
    <row r="68" spans="3:14" hidden="1">
      <c r="D68" s="56">
        <v>2022</v>
      </c>
      <c r="E68" s="56"/>
      <c r="F68" s="56"/>
      <c r="G68" s="56" t="s">
        <v>189</v>
      </c>
      <c r="H68" s="56">
        <v>27</v>
      </c>
      <c r="I68" s="56" t="s">
        <v>15</v>
      </c>
    </row>
    <row r="69" spans="3:14" hidden="1">
      <c r="D69" s="57"/>
      <c r="E69" s="57"/>
      <c r="F69" s="57"/>
      <c r="G69" s="57"/>
    </row>
    <row r="70" spans="3:14" ht="33.75" hidden="1">
      <c r="D70" s="159" t="s">
        <v>16</v>
      </c>
      <c r="E70" s="159"/>
      <c r="F70" s="159"/>
      <c r="G70" s="159" t="s">
        <v>17</v>
      </c>
      <c r="H70" s="159" t="s">
        <v>191</v>
      </c>
      <c r="I70" s="167"/>
      <c r="J70" t="s">
        <v>192</v>
      </c>
    </row>
    <row r="71" spans="3:14" hidden="1">
      <c r="D71" s="61">
        <v>0.33333333333333298</v>
      </c>
      <c r="E71" s="61"/>
      <c r="F71" s="61"/>
      <c r="G71" s="62">
        <v>9</v>
      </c>
      <c r="H71" s="63">
        <v>45.63</v>
      </c>
      <c r="I71" s="130"/>
    </row>
    <row r="72" spans="3:14" hidden="1"/>
    <row r="73" spans="3:14" hidden="1"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</row>
    <row r="74" spans="3:14" hidden="1">
      <c r="C74" s="131"/>
      <c r="D74" s="131" t="s">
        <v>12</v>
      </c>
      <c r="E74" s="131"/>
      <c r="F74" s="131"/>
      <c r="G74" s="131" t="s">
        <v>21</v>
      </c>
      <c r="H74" s="131" t="s">
        <v>22</v>
      </c>
      <c r="I74" s="131" t="s">
        <v>23</v>
      </c>
      <c r="J74" s="131" t="s">
        <v>24</v>
      </c>
      <c r="K74" s="131" t="s">
        <v>25</v>
      </c>
      <c r="L74" s="131"/>
      <c r="M74" s="131"/>
      <c r="N74" s="131" t="s">
        <v>26</v>
      </c>
    </row>
    <row r="75" spans="3:14" hidden="1">
      <c r="C75" s="70" t="s">
        <v>193</v>
      </c>
      <c r="D75" s="71">
        <v>27</v>
      </c>
      <c r="E75" s="71"/>
      <c r="F75" s="71"/>
      <c r="G75" s="72">
        <v>0</v>
      </c>
      <c r="H75" s="72">
        <v>0</v>
      </c>
      <c r="I75" s="73"/>
      <c r="J75" s="73">
        <f>IFERROR(IF(AND(G75&lt;&gt;"",H75&lt;&gt;""),IF(G75&gt;$B$14+TIME($C$14,($C$14-INT($C$14))*60,0),0,IF(H75&gt;$B$14+TIME($C$14,($C$14-INT($C$14))*60,0),MIN(TIME($C$14,($C$14-INT($C$14))*60,0),($B$14+TIME($C$14,($C$14-INT($C$14))*60,0)-G75)),MIN(IF((H75-$B$14)&lt;0,0,(H75-$B$14)),(H75-G75))))*24,"")-I75,"")</f>
        <v>0</v>
      </c>
      <c r="K75" s="73">
        <f>IF(AND(G75&lt;&gt;"",H75&lt;&gt;""),((IF(G75&lt;$B$14,MIN($B$14-G75,H75-G75),0)+IF(H75&gt;$B$14+TIME($C$14,($C$14-INT($C$14))*60,0),MIN((H75-$B$14-TIME($C$14,($C$14-INT($C$14))*60,0)),(H75-G75)),0))*24),"")</f>
        <v>0</v>
      </c>
      <c r="L75" s="110"/>
      <c r="M75" s="102"/>
      <c r="N75" s="99">
        <f>(H71+(H71*169%))*K75</f>
        <v>0</v>
      </c>
    </row>
    <row r="76" spans="3:14" hidden="1">
      <c r="C76" s="70" t="s">
        <v>193</v>
      </c>
      <c r="D76" s="71">
        <v>3</v>
      </c>
      <c r="E76" s="71"/>
      <c r="F76" s="71"/>
      <c r="G76" s="72">
        <v>0</v>
      </c>
      <c r="H76" s="72">
        <v>0</v>
      </c>
      <c r="I76" s="73"/>
      <c r="J76" s="73">
        <f>IFERROR(IF(AND(G76&lt;&gt;"",H76&lt;&gt;""),IF(G76&gt;$B$14+TIME($C$14,($C$14-INT($C$14))*60,0),0,IF(H76&gt;$B$14+TIME($C$14,($C$14-INT($C$14))*60,0),MIN(TIME($C$14,($C$14-INT($C$14))*60,0),($B$14+TIME($C$14,($C$14-INT($C$14))*60,0)-G76)),MIN(IF((H76-$B$14)&lt;0,0,(H76-$B$14)),(H76-G76))))*24,"")-I76,"")</f>
        <v>0</v>
      </c>
      <c r="K76" s="73">
        <f>IF(AND(G76&lt;&gt;"",H76&lt;&gt;""),((IF(G76&lt;$D$48,MIN($D$48-G76,H76-G76),0)+IF(H76&gt;$D$48+TIME($G$48,($G$48-INT($G$48))*60,0),MIN((H76-$D$48-TIME($G$48,($G$48-INT($G$48))*60,0)),(H76-G76)),0))*24),"")</f>
        <v>0</v>
      </c>
      <c r="L76" s="73"/>
      <c r="M76" s="73"/>
      <c r="N76" s="99">
        <f>(H71+(H71*169%))*K76</f>
        <v>0</v>
      </c>
    </row>
    <row r="77" spans="3:14" hidden="1">
      <c r="C77" s="70"/>
      <c r="D77" s="71"/>
      <c r="E77" s="71"/>
      <c r="F77" s="71"/>
      <c r="G77" s="72"/>
      <c r="H77" s="72"/>
      <c r="I77" s="73"/>
      <c r="J77" s="73"/>
      <c r="K77" s="73"/>
      <c r="L77" s="73"/>
      <c r="M77" s="73"/>
      <c r="N77" s="99"/>
    </row>
    <row r="78" spans="3:14" hidden="1"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137">
        <f>SUM(N75:N76)</f>
        <v>0</v>
      </c>
    </row>
    <row r="79" spans="3:14">
      <c r="G79" s="606"/>
      <c r="H79" s="606"/>
    </row>
    <row r="82" spans="3:3">
      <c r="C82" s="91" t="s">
        <v>141</v>
      </c>
    </row>
    <row r="83" spans="3:3">
      <c r="C83" t="s">
        <v>66</v>
      </c>
    </row>
    <row r="84" spans="3:3">
      <c r="C84" s="91"/>
    </row>
  </sheetData>
  <mergeCells count="13">
    <mergeCell ref="B41:N41"/>
    <mergeCell ref="G79:H79"/>
    <mergeCell ref="G32:H32"/>
    <mergeCell ref="G34:H34"/>
    <mergeCell ref="G36:H36"/>
    <mergeCell ref="G38:H38"/>
    <mergeCell ref="G39:H39"/>
    <mergeCell ref="C58:E58"/>
    <mergeCell ref="A6:N6"/>
    <mergeCell ref="C7:D7"/>
    <mergeCell ref="M7:O7"/>
    <mergeCell ref="C8:D8"/>
    <mergeCell ref="M8:O8"/>
  </mergeCells>
  <conditionalFormatting sqref="C17:D17">
    <cfRule type="expression" dxfId="119" priority="11">
      <formula>ISNUMBER(SEARCH(TEXT($B17,"ddd"),$F$10))</formula>
    </cfRule>
  </conditionalFormatting>
  <conditionalFormatting sqref="C51:N52">
    <cfRule type="expression" dxfId="118" priority="1">
      <formula>ISNUMBER(SEARCH(TEXT($C51,"ddd"),$G$11))</formula>
    </cfRule>
  </conditionalFormatting>
  <conditionalFormatting sqref="E17 C18:E31 I75:L75 N75 G75:H76 C75:F77 I76 J76:N77 G77:I77">
    <cfRule type="expression" dxfId="117" priority="24">
      <formula>ISNUMBER(SEARCH(TEXT($C17,"ddd"),$G$11))</formula>
    </cfRule>
  </conditionalFormatting>
  <conditionalFormatting sqref="F17:K31">
    <cfRule type="expression" dxfId="116" priority="3">
      <formula>ISNUMBER(SEARCH(TEXT($C17,"ddd"),$G$11))</formula>
    </cfRule>
  </conditionalFormatting>
  <conditionalFormatting sqref="N17:N31">
    <cfRule type="expression" dxfId="115" priority="12">
      <formula>ISNUMBER(SEARCH(TEXT($B17,"ddd"),$F$10))</formula>
    </cfRule>
  </conditionalFormatting>
  <dataValidations count="6">
    <dataValidation type="list" allowBlank="1" showInputMessage="1" showErrorMessage="1" sqref="H68 F11" xr:uid="{00000000-0002-0000-2600-000000000000}">
      <formula1>AURELIO!DateCalc</formula1>
    </dataValidation>
    <dataValidation type="custom" allowBlank="1" showInputMessage="1" showErrorMessage="1" sqref="G75:G77 E17:G31 G51:G52" xr:uid="{00000000-0002-0000-2600-000001000000}">
      <formula1>AND($G17&lt;=1,ISNUMBER($G17))</formula1>
    </dataValidation>
    <dataValidation type="custom" allowBlank="1" showInputMessage="1" showErrorMessage="1" sqref="H75:H77 H17:H31 H51:H52" xr:uid="{00000000-0002-0000-2600-000002000000}">
      <formula1>AND($H17&lt;=1,ISNUMBER($H17),($H17&gt;=$G17))</formula1>
    </dataValidation>
    <dataValidation type="list" allowBlank="1" showInputMessage="1" showErrorMessage="1" sqref="D11 H45" xr:uid="{00000000-0002-0000-2600-000003000000}">
      <formula1>DateCalc</formula1>
    </dataValidation>
    <dataValidation type="list" allowBlank="1" showInputMessage="1" showErrorMessage="1" sqref="E11" xr:uid="{00000000-0002-0000-2600-000004000000}">
      <formula1>PAREDES!DateCalc</formula1>
    </dataValidation>
    <dataValidation type="list" allowBlank="1" showInputMessage="1" showErrorMessage="1" sqref="I68 G11 D68:G68" xr:uid="{00000000-0002-0000-2600-000005000000}"/>
  </dataValidations>
  <pageMargins left="1.07083333333333" right="0.25" top="0.359722222222222" bottom="0.39791666666666697" header="0.29861111111111099" footer="0.29861111111111099"/>
  <pageSetup paperSize="9" scale="91" orientation="landscape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2513" r:id="rId4" name="Check Box 1">
              <controlPr defaultSize="0" print="0" autoPict="0">
                <anchor moveWithCells="1">
                  <from>
                    <xdr:col>7</xdr:col>
                    <xdr:colOff>180975</xdr:colOff>
                    <xdr:row>9</xdr:row>
                    <xdr:rowOff>28575</xdr:rowOff>
                  </from>
                  <to>
                    <xdr:col>8</xdr:col>
                    <xdr:colOff>571500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2600-000006000000}">
          <x14:formula1>
            <xm:f>Data!$A$2:$A$12</xm:f>
          </x14:formula1>
          <xm:sqref>B11 D45:F45</xm:sqref>
        </x14:dataValidation>
        <x14:dataValidation type="list" allowBlank="1" showInputMessage="1" showErrorMessage="1" xr:uid="{00000000-0002-0000-2600-000007000000}">
          <x14:formula1>
            <xm:f>Data!$B$2:$B$13</xm:f>
          </x14:formula1>
          <xm:sqref>C11 G45</xm:sqref>
        </x14:dataValidation>
        <x14:dataValidation type="list" allowBlank="1" showInputMessage="1" showErrorMessage="1" xr:uid="{00000000-0002-0000-2600-000008000000}">
          <x14:formula1>
            <xm:f>Data!$D$2:$D$16</xm:f>
          </x14:formula1>
          <xm:sqref>I45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5:AH69"/>
  <sheetViews>
    <sheetView showGridLines="0" view="pageLayout" topLeftCell="A13" zoomScaleNormal="100" workbookViewId="0">
      <selection activeCell="L27" activeCellId="1" sqref="L20:N20 L27:N27"/>
    </sheetView>
  </sheetViews>
  <sheetFormatPr defaultColWidth="9" defaultRowHeight="12.75"/>
  <cols>
    <col min="1" max="1" width="1.625" customWidth="1"/>
    <col min="2" max="2" width="5.375" customWidth="1"/>
    <col min="3" max="3" width="7.125" customWidth="1"/>
    <col min="4" max="6" width="7.625" customWidth="1"/>
    <col min="7" max="7" width="10.125" customWidth="1"/>
    <col min="8" max="8" width="9.625" customWidth="1"/>
    <col min="9" max="9" width="8.125" customWidth="1"/>
    <col min="10" max="10" width="10.125" customWidth="1"/>
    <col min="11" max="11" width="7.875" customWidth="1"/>
    <col min="12" max="12" width="10.125" customWidth="1"/>
    <col min="13" max="13" width="10.375" customWidth="1"/>
    <col min="14" max="14" width="12.5" customWidth="1"/>
    <col min="15" max="15" width="16.875" customWidth="1"/>
    <col min="18" max="18" width="11.125" customWidth="1"/>
  </cols>
  <sheetData>
    <row r="5" spans="1:21" ht="25.5" customHeight="1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21" s="47" customFormat="1" ht="25.5" customHeight="1">
      <c r="A6" s="603"/>
      <c r="B6" s="603"/>
      <c r="C6" s="603"/>
      <c r="D6" s="603"/>
      <c r="E6" s="603"/>
      <c r="F6" s="603"/>
      <c r="G6" s="603"/>
      <c r="H6" s="603"/>
      <c r="I6" s="603"/>
      <c r="J6" s="603"/>
      <c r="K6" s="603"/>
      <c r="L6" s="603"/>
      <c r="M6" s="603"/>
      <c r="N6" s="603"/>
    </row>
    <row r="7" spans="1:21" ht="18.75" customHeight="1">
      <c r="C7" s="527" t="s">
        <v>3</v>
      </c>
      <c r="D7" s="527"/>
      <c r="E7" s="49"/>
      <c r="F7" s="49"/>
      <c r="G7" s="158" t="s">
        <v>344</v>
      </c>
      <c r="H7" s="51"/>
      <c r="K7" s="49" t="s">
        <v>174</v>
      </c>
      <c r="M7" s="599" t="str">
        <f>PAALAN!L7</f>
        <v>September  11-25, 2026</v>
      </c>
      <c r="N7" s="599"/>
      <c r="O7" s="599"/>
    </row>
    <row r="8" spans="1:21" ht="18.75" customHeight="1">
      <c r="C8" s="527" t="s">
        <v>175</v>
      </c>
      <c r="D8" s="527"/>
      <c r="E8" s="49"/>
      <c r="F8" s="49"/>
      <c r="G8" s="50" t="s">
        <v>362</v>
      </c>
      <c r="H8" s="51"/>
      <c r="K8" s="49" t="s">
        <v>176</v>
      </c>
      <c r="L8" s="92"/>
      <c r="M8" s="600" t="str">
        <f>PAALAN!L8</f>
        <v>9/31/2026</v>
      </c>
      <c r="N8" s="600"/>
      <c r="O8" s="600"/>
    </row>
    <row r="9" spans="1:21">
      <c r="C9" s="52"/>
      <c r="D9" s="53"/>
      <c r="E9" s="53"/>
      <c r="F9" s="53"/>
      <c r="G9" s="53"/>
    </row>
    <row r="10" spans="1:21">
      <c r="B10" s="54" t="s">
        <v>10</v>
      </c>
      <c r="C10" s="54" t="s">
        <v>11</v>
      </c>
      <c r="D10" s="54" t="s">
        <v>12</v>
      </c>
      <c r="E10" s="54"/>
      <c r="F10" s="54"/>
      <c r="G10" s="55" t="s">
        <v>13</v>
      </c>
    </row>
    <row r="11" spans="1:21">
      <c r="B11" s="56">
        <v>2025</v>
      </c>
      <c r="C11" s="56" t="s">
        <v>272</v>
      </c>
      <c r="D11" s="56">
        <v>11</v>
      </c>
      <c r="E11" s="56"/>
      <c r="F11" s="56"/>
      <c r="G11" s="56" t="s">
        <v>178</v>
      </c>
    </row>
    <row r="12" spans="1:21">
      <c r="B12" s="57"/>
      <c r="C12" s="57"/>
      <c r="H12" s="57"/>
      <c r="K12" s="57"/>
      <c r="L12" s="57"/>
      <c r="M12" s="57"/>
    </row>
    <row r="13" spans="1:21" ht="32.1" customHeight="1">
      <c r="B13" s="159" t="s">
        <v>16</v>
      </c>
      <c r="C13" s="159" t="s">
        <v>17</v>
      </c>
      <c r="D13" s="159" t="s">
        <v>18</v>
      </c>
      <c r="E13" s="160"/>
      <c r="F13" s="160"/>
      <c r="G13" s="160" t="s">
        <v>19</v>
      </c>
      <c r="H13" s="161" t="s">
        <v>179</v>
      </c>
      <c r="L13" s="93"/>
      <c r="M13" s="93"/>
      <c r="N13" s="94"/>
      <c r="O13" s="159" t="s">
        <v>16</v>
      </c>
      <c r="P13" s="159" t="s">
        <v>17</v>
      </c>
      <c r="Q13" s="159" t="s">
        <v>18</v>
      </c>
      <c r="R13" s="160"/>
      <c r="S13" s="160"/>
      <c r="T13" s="160" t="s">
        <v>19</v>
      </c>
      <c r="U13" s="161" t="s">
        <v>179</v>
      </c>
    </row>
    <row r="14" spans="1:21">
      <c r="B14" s="61">
        <v>0.33333333333333331</v>
      </c>
      <c r="C14" s="62">
        <v>10</v>
      </c>
      <c r="D14" s="63">
        <f>(13000/26)/8</f>
        <v>62.5</v>
      </c>
      <c r="E14" s="142"/>
      <c r="F14" s="142"/>
      <c r="G14" s="64">
        <f>(D14*25%)+D14</f>
        <v>78.125</v>
      </c>
      <c r="H14" s="65">
        <v>105</v>
      </c>
      <c r="I14" s="95"/>
      <c r="L14" s="57"/>
      <c r="M14" s="57"/>
      <c r="N14" s="95"/>
      <c r="O14" s="61">
        <v>0.375</v>
      </c>
      <c r="P14" s="62">
        <v>3</v>
      </c>
      <c r="Q14" s="63">
        <f>(16082.56/26)/8</f>
        <v>77.319999999999993</v>
      </c>
      <c r="R14" s="142"/>
      <c r="S14" s="142"/>
      <c r="T14" s="64">
        <f>(Q14*25%)+Q14</f>
        <v>96.649999999999991</v>
      </c>
      <c r="U14" s="65">
        <v>99</v>
      </c>
    </row>
    <row r="15" spans="1:21">
      <c r="N15" s="96"/>
    </row>
    <row r="16" spans="1:21" ht="23.25">
      <c r="B16" s="66"/>
      <c r="C16" s="67" t="s">
        <v>20</v>
      </c>
      <c r="D16" s="67" t="s">
        <v>12</v>
      </c>
      <c r="E16" s="67"/>
      <c r="F16" s="67"/>
      <c r="G16" s="67" t="s">
        <v>21</v>
      </c>
      <c r="H16" s="67" t="s">
        <v>22</v>
      </c>
      <c r="I16" s="68" t="s">
        <v>23</v>
      </c>
      <c r="J16" s="68" t="s">
        <v>24</v>
      </c>
      <c r="K16" s="68" t="s">
        <v>25</v>
      </c>
      <c r="L16" s="67" t="s">
        <v>180</v>
      </c>
      <c r="M16" s="134" t="s">
        <v>181</v>
      </c>
      <c r="N16" s="67" t="s">
        <v>26</v>
      </c>
    </row>
    <row r="17" spans="2:34">
      <c r="B17" s="69">
        <v>1</v>
      </c>
      <c r="C17" s="70">
        <f>DATE($B$11,MATCH($C$11,Data!$B$2:$B$13,0),MOHAMMAD!$D$11)</f>
        <v>45941</v>
      </c>
      <c r="D17" s="71">
        <f>DATE($B$11,MATCH($C$11,Data!$B$2:$B$13,0),MOHAMMAD!$D$11)</f>
        <v>45941</v>
      </c>
      <c r="E17" s="72">
        <v>0.34027777777777773</v>
      </c>
      <c r="F17" s="72">
        <v>6.9444444444444441E-3</v>
      </c>
      <c r="G17" s="72">
        <f t="shared" ref="G17:G31" si="0">E17-F17</f>
        <v>0.33333333333333331</v>
      </c>
      <c r="H17" s="72">
        <v>0.75</v>
      </c>
      <c r="I17" s="73">
        <v>1</v>
      </c>
      <c r="J17" s="73">
        <f t="shared" ref="J17:J31" si="1">IFERROR(IF(AND(G17&lt;&gt;"",H17&lt;&gt;""),IF(G17&gt;$B$14+TIME($C$14,($C$14-INT($C$14))*60,0),0,IF(H17&gt;$B$14+TIME($C$14,($C$14-INT($C$14))*60,0),MIN(TIME($C$14,($C$14-INT($C$14))*60,0),($B$14+TIME($C$14,($C$14-INT($C$14))*60,0)-G17)),MIN(IF((H17-$B$14)&lt;0,0,(H17-$B$14)),(H17-G17))))*24,"")-I17,"")</f>
        <v>9</v>
      </c>
      <c r="K17" s="73">
        <f t="shared" ref="K17:K18" si="2">IF(AND(G17&lt;&gt;"",H17&lt;&gt;""),((IF(G17&lt;$B$14,MIN($B$14-G17,H17-G17),0)+IF(H17&gt;$B$14+TIME($C$14,($C$14-INT($C$14))*60,0),MIN((H17-$B$14-TIME($C$14,($C$14-INT($C$14))*60,0)),(H17-G17)),0))*24),"")</f>
        <v>0</v>
      </c>
      <c r="L17" s="101">
        <f t="shared" ref="L17" si="3">G17-B14</f>
        <v>0</v>
      </c>
      <c r="M17" s="102">
        <f>(D14/60)*0</f>
        <v>0</v>
      </c>
      <c r="N17" s="111">
        <f>IFERROR(J17*IF(AND(ISNUMBER(SEARCH(TEXT(C17,"ddd"),$G$11)),Data!$F$2),$G$14,$D$14)+K17*$G$14,"")</f>
        <v>562.5</v>
      </c>
      <c r="O17" s="141">
        <f t="shared" ref="O17:O30" si="4">M17+N17</f>
        <v>562.5</v>
      </c>
      <c r="P17" s="100"/>
      <c r="Q17" s="89"/>
    </row>
    <row r="18" spans="2:34">
      <c r="B18" s="69">
        <v>2</v>
      </c>
      <c r="C18" s="70">
        <f t="shared" ref="C18:D31" si="5">C17+1</f>
        <v>45942</v>
      </c>
      <c r="D18" s="71">
        <f t="shared" si="5"/>
        <v>45942</v>
      </c>
      <c r="E18" s="72">
        <v>0.54861111111111105</v>
      </c>
      <c r="F18" s="72">
        <v>6.9444444444444441E-3</v>
      </c>
      <c r="G18" s="72">
        <f t="shared" si="0"/>
        <v>0.54166666666666663</v>
      </c>
      <c r="H18" s="72">
        <v>0.75</v>
      </c>
      <c r="I18" s="73">
        <v>0</v>
      </c>
      <c r="J18" s="73">
        <f t="shared" ref="J18" si="6">IFERROR(IF(AND(G18&lt;&gt;"",H18&lt;&gt;""),IF(G18&gt;$B$14+TIME($C$14,($C$14-INT($C$14))*60,0),0,IF(H18&gt;$B$14+TIME($C$14,($C$14-INT($C$14))*60,0),MIN(TIME($C$14,($C$14-INT($C$14))*60,0),($B$14+TIME($C$14,($C$14-INT($C$14))*60,0)-G18)),MIN(IF((H18-$B$14)&lt;0,0,(H18-$B$14)),(H18-G18))))*24,"")-I18,"")</f>
        <v>5.0000000000000009</v>
      </c>
      <c r="K18" s="73">
        <f t="shared" si="2"/>
        <v>0</v>
      </c>
      <c r="L18" s="97">
        <v>0.16666666666666666</v>
      </c>
      <c r="M18" s="98">
        <f>(D14/60)*240</f>
        <v>250.00000000000003</v>
      </c>
      <c r="N18" s="251">
        <f>IFERROR(J18*IF(AND(ISNUMBER(SEARCH(TEXT(C18,"ddd"),$G$11)),Data!$F$2),$G$14,$D$14)+K18*$G$14,"")</f>
        <v>390.62500000000006</v>
      </c>
      <c r="O18" s="141">
        <f t="shared" si="4"/>
        <v>640.62500000000011</v>
      </c>
      <c r="P18" s="89"/>
      <c r="Q18" s="89"/>
    </row>
    <row r="19" spans="2:34">
      <c r="B19" s="69">
        <v>3</v>
      </c>
      <c r="C19" s="70">
        <f t="shared" si="5"/>
        <v>45943</v>
      </c>
      <c r="D19" s="71">
        <f t="shared" si="5"/>
        <v>45943</v>
      </c>
      <c r="E19" s="72">
        <v>0.38194444444444442</v>
      </c>
      <c r="F19" s="72">
        <v>6.9444444444444441E-3</v>
      </c>
      <c r="G19" s="72">
        <f t="shared" si="0"/>
        <v>0.375</v>
      </c>
      <c r="H19" s="72">
        <v>0.5</v>
      </c>
      <c r="I19" s="73">
        <v>0</v>
      </c>
      <c r="J19" s="73">
        <f t="shared" si="1"/>
        <v>3</v>
      </c>
      <c r="K19" s="73">
        <v>4</v>
      </c>
      <c r="L19" s="101">
        <v>0</v>
      </c>
      <c r="M19" s="102">
        <f>(D14/60)*0</f>
        <v>0</v>
      </c>
      <c r="N19" s="111">
        <f>IFERROR(J19*IF(AND(ISNUMBER(SEARCH(TEXT(C19,"ddd"),$G$11)),Data!$F$2),$G$14,$D$14)+K19*$G$14,"")</f>
        <v>500</v>
      </c>
      <c r="O19" s="141">
        <f t="shared" si="4"/>
        <v>500</v>
      </c>
      <c r="P19" s="100"/>
      <c r="Q19" s="104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</row>
    <row r="20" spans="2:34">
      <c r="B20" s="69"/>
      <c r="C20" s="70">
        <f t="shared" si="5"/>
        <v>45944</v>
      </c>
      <c r="D20" s="71">
        <f t="shared" si="5"/>
        <v>45944</v>
      </c>
      <c r="E20" s="72">
        <v>0</v>
      </c>
      <c r="F20" s="72">
        <v>0</v>
      </c>
      <c r="G20" s="72">
        <f t="shared" si="0"/>
        <v>0</v>
      </c>
      <c r="H20" s="72">
        <v>0</v>
      </c>
      <c r="I20" s="73">
        <v>0</v>
      </c>
      <c r="J20" s="73">
        <f t="shared" si="1"/>
        <v>0</v>
      </c>
      <c r="K20" s="73">
        <f t="shared" ref="K20:K31" si="7">IF(AND(G20&lt;&gt;"",H20&lt;&gt;""),((IF(G20&lt;$B$14,MIN($B$14-G20,H20-G20),0)+IF(H20&gt;$B$14+TIME($C$14,($C$14-INT($C$14))*60,0),MIN((H20-$B$14-TIME($C$14,($C$14-INT($C$14))*60,0)),(H20-G20)),0))*24),"")</f>
        <v>0</v>
      </c>
      <c r="L20" s="101">
        <v>0</v>
      </c>
      <c r="M20" s="102">
        <f>(D14/60)*0</f>
        <v>0</v>
      </c>
      <c r="N20" s="111">
        <f>IFERROR(J20*IF(AND(ISNUMBER(SEARCH(TEXT(C20,"ddd"),$G$11)),Data!$F$2),$G$14,$D$14)+K20*$G$14,"")</f>
        <v>0</v>
      </c>
      <c r="O20" s="141">
        <f t="shared" si="4"/>
        <v>0</v>
      </c>
      <c r="P20" s="103"/>
      <c r="Q20" s="103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28"/>
    </row>
    <row r="21" spans="2:34">
      <c r="B21" s="69">
        <v>4</v>
      </c>
      <c r="C21" s="70">
        <f t="shared" si="5"/>
        <v>45945</v>
      </c>
      <c r="D21" s="71">
        <f t="shared" si="5"/>
        <v>45945</v>
      </c>
      <c r="E21" s="72">
        <v>0.34027777777777773</v>
      </c>
      <c r="F21" s="72">
        <v>6.9444444444444441E-3</v>
      </c>
      <c r="G21" s="72">
        <f t="shared" si="0"/>
        <v>0.33333333333333331</v>
      </c>
      <c r="H21" s="72">
        <v>0.75</v>
      </c>
      <c r="I21" s="73">
        <v>1</v>
      </c>
      <c r="J21" s="73">
        <f t="shared" si="1"/>
        <v>9</v>
      </c>
      <c r="K21" s="73">
        <f t="shared" si="7"/>
        <v>0</v>
      </c>
      <c r="L21" s="101">
        <f>G21-B14</f>
        <v>0</v>
      </c>
      <c r="M21" s="102">
        <f>(D14/60)*0</f>
        <v>0</v>
      </c>
      <c r="N21" s="111">
        <f>IFERROR(J21*IF(AND(ISNUMBER(SEARCH(TEXT(C21,"ddd"),$G$11)),Data!$F$2),$G$14,$D$14)+K21*$G$14,"")</f>
        <v>562.5</v>
      </c>
      <c r="O21" s="141">
        <f t="shared" si="4"/>
        <v>562.5</v>
      </c>
      <c r="P21" s="162"/>
      <c r="Q21" s="108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4"/>
    </row>
    <row r="22" spans="2:34">
      <c r="B22" s="69">
        <v>5</v>
      </c>
      <c r="C22" s="70">
        <f t="shared" si="5"/>
        <v>45946</v>
      </c>
      <c r="D22" s="71">
        <f t="shared" si="5"/>
        <v>45946</v>
      </c>
      <c r="E22" s="72">
        <v>0.34027777777777773</v>
      </c>
      <c r="F22" s="72">
        <v>6.9444444444444441E-3</v>
      </c>
      <c r="G22" s="72">
        <f t="shared" si="0"/>
        <v>0.33333333333333331</v>
      </c>
      <c r="H22" s="72">
        <v>0.75</v>
      </c>
      <c r="I22" s="73">
        <v>1</v>
      </c>
      <c r="J22" s="73">
        <f t="shared" si="1"/>
        <v>9</v>
      </c>
      <c r="K22" s="73">
        <f t="shared" si="7"/>
        <v>0</v>
      </c>
      <c r="L22" s="101">
        <f>G22-B14</f>
        <v>0</v>
      </c>
      <c r="M22" s="102">
        <f>(D14/60)*0</f>
        <v>0</v>
      </c>
      <c r="N22" s="111">
        <f>IFERROR(J22*IF(AND(ISNUMBER(SEARCH(TEXT(C22,"ddd"),$G$11)),Data!$F$2),$G$14,$D$14)+K22*$G$14,"")</f>
        <v>562.5</v>
      </c>
      <c r="O22" s="141">
        <f t="shared" si="4"/>
        <v>562.5</v>
      </c>
      <c r="P22" s="163">
        <f>O21-O22</f>
        <v>0</v>
      </c>
      <c r="Q22" s="135"/>
      <c r="R22" s="96">
        <v>0.40486111111111101</v>
      </c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4"/>
    </row>
    <row r="23" spans="2:34">
      <c r="B23" s="69">
        <v>6</v>
      </c>
      <c r="C23" s="70">
        <f t="shared" si="5"/>
        <v>45947</v>
      </c>
      <c r="D23" s="71">
        <f t="shared" si="5"/>
        <v>45947</v>
      </c>
      <c r="E23" s="72">
        <v>0.34027777777777773</v>
      </c>
      <c r="F23" s="72">
        <v>6.9444444444444441E-3</v>
      </c>
      <c r="G23" s="72">
        <f t="shared" si="0"/>
        <v>0.33333333333333331</v>
      </c>
      <c r="H23" s="72">
        <v>0.75</v>
      </c>
      <c r="I23" s="73">
        <v>1</v>
      </c>
      <c r="J23" s="73">
        <f t="shared" si="1"/>
        <v>9</v>
      </c>
      <c r="K23" s="73">
        <f t="shared" si="7"/>
        <v>0</v>
      </c>
      <c r="L23" s="101">
        <f>G23-B14</f>
        <v>0</v>
      </c>
      <c r="M23" s="102">
        <f>(D14/60)*0</f>
        <v>0</v>
      </c>
      <c r="N23" s="111">
        <f>IFERROR(J23*IF(AND(ISNUMBER(SEARCH(TEXT(C23,"ddd"),$G$11)),Data!$F$2),$G$14,$D$14)+K23*$G$14,"")</f>
        <v>562.5</v>
      </c>
      <c r="O23" s="141">
        <f t="shared" si="4"/>
        <v>562.5</v>
      </c>
      <c r="P23" s="150"/>
      <c r="Q23" s="89"/>
      <c r="R23" s="96">
        <v>1.0416666666666701E-2</v>
      </c>
    </row>
    <row r="24" spans="2:34">
      <c r="B24" s="69">
        <v>7</v>
      </c>
      <c r="C24" s="70">
        <f t="shared" si="5"/>
        <v>45948</v>
      </c>
      <c r="D24" s="71">
        <f t="shared" si="5"/>
        <v>45948</v>
      </c>
      <c r="E24" s="72">
        <v>0.34027777777777773</v>
      </c>
      <c r="F24" s="72">
        <v>6.9444444444444441E-3</v>
      </c>
      <c r="G24" s="72">
        <f t="shared" si="0"/>
        <v>0.33333333333333331</v>
      </c>
      <c r="H24" s="72">
        <v>0.75</v>
      </c>
      <c r="I24" s="73">
        <v>1</v>
      </c>
      <c r="J24" s="73">
        <f t="shared" si="1"/>
        <v>9</v>
      </c>
      <c r="K24" s="73">
        <f t="shared" si="7"/>
        <v>0</v>
      </c>
      <c r="L24" s="101">
        <f>G24-B14</f>
        <v>0</v>
      </c>
      <c r="M24" s="102">
        <f>(D14/60)*0</f>
        <v>0</v>
      </c>
      <c r="N24" s="111">
        <f>IFERROR(J24*IF(AND(ISNUMBER(SEARCH(TEXT(C24,"ddd"),$G$11)),Data!$F$2),$G$14,$D$14)+K24*$G$14,"")</f>
        <v>562.5</v>
      </c>
      <c r="O24" s="141">
        <f t="shared" si="4"/>
        <v>562.5</v>
      </c>
      <c r="P24" s="155"/>
      <c r="Q24" s="89"/>
      <c r="R24" s="129">
        <f>R22-R23</f>
        <v>0.39444444444444432</v>
      </c>
    </row>
    <row r="25" spans="2:34">
      <c r="B25" s="69">
        <v>8</v>
      </c>
      <c r="C25" s="70">
        <f t="shared" si="5"/>
        <v>45949</v>
      </c>
      <c r="D25" s="71">
        <f t="shared" si="5"/>
        <v>45949</v>
      </c>
      <c r="E25" s="72">
        <v>0.34027777777777773</v>
      </c>
      <c r="F25" s="72">
        <v>6.9444444444444441E-3</v>
      </c>
      <c r="G25" s="72">
        <f t="shared" si="0"/>
        <v>0.33333333333333331</v>
      </c>
      <c r="H25" s="72">
        <v>0.75</v>
      </c>
      <c r="I25" s="73">
        <v>1</v>
      </c>
      <c r="J25" s="73">
        <f t="shared" si="1"/>
        <v>9</v>
      </c>
      <c r="K25" s="73">
        <f t="shared" si="7"/>
        <v>0</v>
      </c>
      <c r="L25" s="97">
        <f>G25-B14</f>
        <v>0</v>
      </c>
      <c r="M25" s="98">
        <f>(D14/60)*0</f>
        <v>0</v>
      </c>
      <c r="N25" s="251">
        <f>IFERROR(J25*IF(AND(ISNUMBER(SEARCH(TEXT(C25,"ddd"),$G$11)),Data!$F$2),$G$14,$D$14)+K25*$G$14,"")</f>
        <v>703.125</v>
      </c>
      <c r="O25" s="141">
        <f t="shared" si="4"/>
        <v>703.125</v>
      </c>
      <c r="P25" s="89"/>
      <c r="Q25" s="89"/>
    </row>
    <row r="26" spans="2:34">
      <c r="B26" s="69">
        <v>9</v>
      </c>
      <c r="C26" s="70">
        <f t="shared" si="5"/>
        <v>45950</v>
      </c>
      <c r="D26" s="71">
        <f t="shared" si="5"/>
        <v>45950</v>
      </c>
      <c r="E26" s="72">
        <v>0.38194444444444442</v>
      </c>
      <c r="F26" s="72">
        <v>6.9444444444444441E-3</v>
      </c>
      <c r="G26" s="72">
        <f t="shared" si="0"/>
        <v>0.375</v>
      </c>
      <c r="H26" s="72">
        <v>0.5</v>
      </c>
      <c r="I26" s="73">
        <v>0</v>
      </c>
      <c r="J26" s="73">
        <f t="shared" si="1"/>
        <v>3</v>
      </c>
      <c r="K26" s="73">
        <v>5</v>
      </c>
      <c r="L26" s="101">
        <v>0</v>
      </c>
      <c r="M26" s="102">
        <f>(D14/60)*0</f>
        <v>0</v>
      </c>
      <c r="N26" s="111">
        <f>IFERROR(J26*IF(AND(ISNUMBER(SEARCH(TEXT(C26,"ddd"),$G$11)),Data!$F$2),$G$14,$D$14)+K26*$G$14,"")</f>
        <v>578.125</v>
      </c>
      <c r="O26" s="141">
        <f t="shared" si="4"/>
        <v>578.125</v>
      </c>
      <c r="P26" s="89"/>
      <c r="Q26" s="89"/>
    </row>
    <row r="27" spans="2:34">
      <c r="B27" s="69"/>
      <c r="C27" s="70">
        <f t="shared" si="5"/>
        <v>45951</v>
      </c>
      <c r="D27" s="71">
        <f t="shared" si="5"/>
        <v>45951</v>
      </c>
      <c r="E27" s="72">
        <v>0</v>
      </c>
      <c r="F27" s="72">
        <v>0</v>
      </c>
      <c r="G27" s="72">
        <f t="shared" si="0"/>
        <v>0</v>
      </c>
      <c r="H27" s="72">
        <v>0</v>
      </c>
      <c r="I27" s="73">
        <v>0</v>
      </c>
      <c r="J27" s="73">
        <f t="shared" si="1"/>
        <v>0</v>
      </c>
      <c r="K27" s="73">
        <f t="shared" si="7"/>
        <v>0</v>
      </c>
      <c r="L27" s="101">
        <v>0</v>
      </c>
      <c r="M27" s="102">
        <f>(D14/60)*0</f>
        <v>0</v>
      </c>
      <c r="N27" s="111">
        <f>IFERROR(J27*IF(AND(ISNUMBER(SEARCH(TEXT(C27,"ddd"),$G$11)),Data!$F$2),$G$14,$D$14)+K27*$G$14,"")</f>
        <v>0</v>
      </c>
      <c r="O27" s="141">
        <f t="shared" si="4"/>
        <v>0</v>
      </c>
      <c r="P27" s="127"/>
      <c r="Q27" s="89"/>
    </row>
    <row r="28" spans="2:34">
      <c r="B28" s="69">
        <v>10</v>
      </c>
      <c r="C28" s="70">
        <f t="shared" si="5"/>
        <v>45952</v>
      </c>
      <c r="D28" s="71">
        <f t="shared" si="5"/>
        <v>45952</v>
      </c>
      <c r="E28" s="72">
        <v>0.34027777777777773</v>
      </c>
      <c r="F28" s="72">
        <v>6.9444444444444441E-3</v>
      </c>
      <c r="G28" s="72">
        <f t="shared" si="0"/>
        <v>0.33333333333333331</v>
      </c>
      <c r="H28" s="72">
        <v>0.75</v>
      </c>
      <c r="I28" s="73">
        <v>1</v>
      </c>
      <c r="J28" s="73">
        <f t="shared" si="1"/>
        <v>9</v>
      </c>
      <c r="K28" s="73">
        <f t="shared" si="7"/>
        <v>0</v>
      </c>
      <c r="L28" s="101">
        <f>G28-B14</f>
        <v>0</v>
      </c>
      <c r="M28" s="102">
        <f>(D14/60)*0</f>
        <v>0</v>
      </c>
      <c r="N28" s="111">
        <f>IFERROR(J28*IF(AND(ISNUMBER(SEARCH(TEXT(C28,"ddd"),$G$11)),Data!$F$2),$G$14,$D$14)+K28*$G$14,"")</f>
        <v>562.5</v>
      </c>
      <c r="O28" s="141">
        <f t="shared" si="4"/>
        <v>562.5</v>
      </c>
      <c r="Q28" s="89"/>
    </row>
    <row r="29" spans="2:34">
      <c r="B29" s="69">
        <v>11</v>
      </c>
      <c r="C29" s="70">
        <f t="shared" si="5"/>
        <v>45953</v>
      </c>
      <c r="D29" s="71">
        <f t="shared" si="5"/>
        <v>45953</v>
      </c>
      <c r="E29" s="72">
        <v>0.34027777777777773</v>
      </c>
      <c r="F29" s="72">
        <v>6.9444444444444441E-3</v>
      </c>
      <c r="G29" s="72">
        <f t="shared" si="0"/>
        <v>0.33333333333333331</v>
      </c>
      <c r="H29" s="72">
        <v>0.75</v>
      </c>
      <c r="I29" s="73">
        <v>1</v>
      </c>
      <c r="J29" s="73">
        <f t="shared" si="1"/>
        <v>9</v>
      </c>
      <c r="K29" s="73">
        <f t="shared" si="7"/>
        <v>0</v>
      </c>
      <c r="L29" s="101">
        <f>G29-B14</f>
        <v>0</v>
      </c>
      <c r="M29" s="102">
        <f>(D14/60)*0</f>
        <v>0</v>
      </c>
      <c r="N29" s="111">
        <f>IFERROR(J29*IF(AND(ISNUMBER(SEARCH(TEXT(C29,"ddd"),$G$11)),Data!$F$2),$G$14,$D$14)+K29*$G$14,"")</f>
        <v>562.5</v>
      </c>
      <c r="O29" s="141">
        <f>M29+N29</f>
        <v>562.5</v>
      </c>
      <c r="P29" s="95">
        <f>O28-O29</f>
        <v>0</v>
      </c>
      <c r="Q29" s="89"/>
    </row>
    <row r="30" spans="2:34">
      <c r="B30" s="69">
        <v>12</v>
      </c>
      <c r="C30" s="70">
        <f t="shared" si="5"/>
        <v>45954</v>
      </c>
      <c r="D30" s="71">
        <f t="shared" si="5"/>
        <v>45954</v>
      </c>
      <c r="E30" s="72">
        <v>0.34027777777777773</v>
      </c>
      <c r="F30" s="72">
        <v>6.9444444444444441E-3</v>
      </c>
      <c r="G30" s="72">
        <f t="shared" si="0"/>
        <v>0.33333333333333331</v>
      </c>
      <c r="H30" s="72">
        <v>0.75</v>
      </c>
      <c r="I30" s="73">
        <v>1</v>
      </c>
      <c r="J30" s="73">
        <f t="shared" si="1"/>
        <v>9</v>
      </c>
      <c r="K30" s="73">
        <f t="shared" si="7"/>
        <v>0</v>
      </c>
      <c r="L30" s="101">
        <f>G30-B14</f>
        <v>0</v>
      </c>
      <c r="M30" s="102">
        <f>(D14/60)*0</f>
        <v>0</v>
      </c>
      <c r="N30" s="111">
        <f>IFERROR(J30*IF(AND(ISNUMBER(SEARCH(TEXT(C30,"ddd"),$G$11)),Data!$F$2),$G$14,$D$14)+K30*$G$14,"")</f>
        <v>562.5</v>
      </c>
      <c r="O30" s="141">
        <f t="shared" si="4"/>
        <v>562.5</v>
      </c>
      <c r="P30" s="127"/>
      <c r="Q30" s="89"/>
    </row>
    <row r="31" spans="2:34">
      <c r="B31" s="69">
        <v>13</v>
      </c>
      <c r="C31" s="70">
        <f t="shared" si="5"/>
        <v>45955</v>
      </c>
      <c r="D31" s="71">
        <f t="shared" si="5"/>
        <v>45955</v>
      </c>
      <c r="E31" s="72">
        <v>0.34027777777777773</v>
      </c>
      <c r="F31" s="72">
        <v>6.9444444444444441E-3</v>
      </c>
      <c r="G31" s="72">
        <f t="shared" si="0"/>
        <v>0.33333333333333331</v>
      </c>
      <c r="H31" s="72">
        <v>0.75</v>
      </c>
      <c r="I31" s="73">
        <v>1</v>
      </c>
      <c r="J31" s="73">
        <f t="shared" si="1"/>
        <v>9</v>
      </c>
      <c r="K31" s="73">
        <f t="shared" si="7"/>
        <v>0</v>
      </c>
      <c r="L31" s="101">
        <f>G31-B14</f>
        <v>0</v>
      </c>
      <c r="M31" s="102">
        <f>(D14/60)*0</f>
        <v>0</v>
      </c>
      <c r="N31" s="111">
        <f>IFERROR(J31*IF(AND(ISNUMBER(SEARCH(TEXT(C31,"ddd"),$G$11)),Data!$F$2),$G$14,$D$14)+K31*$G$14,"")</f>
        <v>562.5</v>
      </c>
      <c r="O31" s="141">
        <f>M31+N31</f>
        <v>562.5</v>
      </c>
      <c r="P31" s="95">
        <f>O28-O31</f>
        <v>0</v>
      </c>
    </row>
    <row r="32" spans="2:34">
      <c r="B32" s="66"/>
      <c r="C32" s="76"/>
      <c r="D32" s="77"/>
      <c r="E32" s="144"/>
      <c r="F32" s="144"/>
      <c r="G32" s="597" t="s">
        <v>182</v>
      </c>
      <c r="H32" s="598"/>
      <c r="I32" s="80">
        <f>SUM(I17:I31)</f>
        <v>10</v>
      </c>
      <c r="J32" s="80">
        <f>SUM(J17:J31)</f>
        <v>101</v>
      </c>
      <c r="K32" s="80">
        <f>SUM(K17:K31)</f>
        <v>9</v>
      </c>
      <c r="L32" s="113">
        <f>SUM(L17:L31)</f>
        <v>0.16666666666666666</v>
      </c>
      <c r="M32" s="114">
        <f>SUM(M17:M31)</f>
        <v>250.00000000000003</v>
      </c>
      <c r="N32" s="66"/>
      <c r="O32" s="165">
        <f>SUM(O17:O31)</f>
        <v>7484.375</v>
      </c>
      <c r="P32" s="165">
        <f>SUM(P17:P31)</f>
        <v>0</v>
      </c>
      <c r="Q32" s="95">
        <f>O32+P32</f>
        <v>7484.375</v>
      </c>
    </row>
    <row r="33" spans="2:17">
      <c r="B33" s="66"/>
      <c r="C33" s="76"/>
      <c r="D33" s="77"/>
      <c r="E33" s="144"/>
      <c r="F33" s="144"/>
      <c r="G33" s="81" t="s">
        <v>39</v>
      </c>
      <c r="H33" s="82"/>
      <c r="I33" s="83"/>
      <c r="J33" s="84"/>
      <c r="K33" s="116"/>
      <c r="L33" s="102">
        <f>(D14/60)*240</f>
        <v>250.00000000000003</v>
      </c>
      <c r="M33" s="118"/>
      <c r="N33" s="166">
        <f>D14*H14</f>
        <v>6562.5</v>
      </c>
      <c r="O33" s="95"/>
      <c r="P33" s="95"/>
      <c r="Q33" s="95"/>
    </row>
    <row r="34" spans="2:17">
      <c r="B34" s="65"/>
      <c r="C34" s="65"/>
      <c r="D34" s="85"/>
      <c r="E34" s="85"/>
      <c r="F34" s="85"/>
      <c r="G34" s="592" t="s">
        <v>183</v>
      </c>
      <c r="H34" s="592"/>
      <c r="I34" s="80"/>
      <c r="J34" s="80">
        <f>H14-J32</f>
        <v>4</v>
      </c>
      <c r="K34" s="65"/>
      <c r="L34" s="120"/>
      <c r="M34" s="65"/>
      <c r="N34" s="121">
        <f>L33</f>
        <v>250.00000000000003</v>
      </c>
      <c r="O34" s="151">
        <f>O32-O33</f>
        <v>7484.375</v>
      </c>
      <c r="P34" s="95"/>
      <c r="Q34" s="95"/>
    </row>
    <row r="35" spans="2:17">
      <c r="B35" s="65"/>
      <c r="C35" s="65"/>
      <c r="D35" s="85"/>
      <c r="E35" s="145"/>
      <c r="F35" s="145"/>
      <c r="G35" s="78" t="s">
        <v>41</v>
      </c>
      <c r="H35" s="79"/>
      <c r="I35" s="66"/>
      <c r="J35" s="66"/>
      <c r="K35" s="80"/>
      <c r="L35" s="80"/>
      <c r="M35" s="80"/>
      <c r="N35" s="121">
        <f>N33-N34</f>
        <v>6312.5</v>
      </c>
      <c r="O35" s="95"/>
      <c r="P35" s="95"/>
      <c r="Q35" s="95"/>
    </row>
    <row r="36" spans="2:17">
      <c r="B36" s="65"/>
      <c r="C36" s="65"/>
      <c r="D36" s="85"/>
      <c r="E36" s="146"/>
      <c r="F36" s="146"/>
      <c r="G36" s="604" t="s">
        <v>184</v>
      </c>
      <c r="H36" s="605"/>
      <c r="I36" s="80"/>
      <c r="J36" s="401"/>
      <c r="K36" s="122"/>
      <c r="L36" s="122"/>
      <c r="M36" s="122"/>
      <c r="N36" s="123">
        <f>G14*K32</f>
        <v>703.125</v>
      </c>
      <c r="O36" s="95"/>
    </row>
    <row r="37" spans="2:17">
      <c r="B37" s="65"/>
      <c r="C37" s="65"/>
      <c r="D37" s="85"/>
      <c r="E37" s="146"/>
      <c r="F37" s="146"/>
      <c r="G37" s="86" t="s">
        <v>185</v>
      </c>
      <c r="H37" s="87"/>
      <c r="I37" s="80"/>
      <c r="J37" s="66"/>
      <c r="K37" s="122"/>
      <c r="L37" s="122"/>
      <c r="M37" s="122"/>
      <c r="N37" s="123">
        <f>N53</f>
        <v>0</v>
      </c>
      <c r="O37" s="95"/>
    </row>
    <row r="38" spans="2:17">
      <c r="B38" s="65"/>
      <c r="C38" s="65"/>
      <c r="D38" s="85"/>
      <c r="E38" s="145"/>
      <c r="F38" s="145"/>
      <c r="G38" s="597" t="s">
        <v>186</v>
      </c>
      <c r="H38" s="598"/>
      <c r="I38" s="66"/>
      <c r="J38" s="66"/>
      <c r="K38" s="66"/>
      <c r="L38" s="66"/>
      <c r="M38" s="66"/>
      <c r="N38" s="124">
        <f>N35+N36+N37</f>
        <v>7015.625</v>
      </c>
      <c r="O38" s="95"/>
    </row>
    <row r="39" spans="2:17">
      <c r="D39" s="88"/>
      <c r="E39" s="88"/>
      <c r="F39" s="88"/>
      <c r="G39" s="589"/>
      <c r="H39" s="589"/>
      <c r="I39" s="90"/>
      <c r="J39" s="90"/>
      <c r="K39" s="125"/>
      <c r="L39" s="125"/>
      <c r="M39" s="125"/>
      <c r="N39" s="126"/>
      <c r="O39" s="127"/>
    </row>
    <row r="40" spans="2:17">
      <c r="D40" s="91"/>
      <c r="E40" s="91"/>
      <c r="F40" s="91"/>
      <c r="M40" t="s">
        <v>196</v>
      </c>
    </row>
    <row r="41" spans="2:17">
      <c r="B41" s="590" t="s">
        <v>187</v>
      </c>
      <c r="C41" s="590"/>
      <c r="D41" s="590"/>
      <c r="E41" s="590"/>
      <c r="F41" s="590"/>
      <c r="G41" s="590"/>
      <c r="H41" s="590"/>
      <c r="I41" s="590"/>
      <c r="J41" s="590"/>
      <c r="K41" s="590"/>
      <c r="L41" s="590"/>
      <c r="M41" s="590"/>
      <c r="N41" s="590"/>
    </row>
    <row r="42" spans="2:17">
      <c r="D42" s="91"/>
      <c r="E42" s="91"/>
      <c r="F42" s="91"/>
    </row>
    <row r="43" spans="2:17">
      <c r="D43" s="91" t="s">
        <v>188</v>
      </c>
      <c r="E43" s="91"/>
      <c r="F43" s="91"/>
      <c r="N43" s="95"/>
    </row>
    <row r="44" spans="2:17">
      <c r="D44" s="54" t="s">
        <v>10</v>
      </c>
      <c r="E44" s="54"/>
      <c r="F44" s="54"/>
      <c r="G44" s="54" t="s">
        <v>11</v>
      </c>
      <c r="H44" s="54" t="s">
        <v>12</v>
      </c>
      <c r="I44" s="55" t="s">
        <v>13</v>
      </c>
    </row>
    <row r="45" spans="2:17">
      <c r="D45" s="56">
        <v>2025</v>
      </c>
      <c r="E45" s="56"/>
      <c r="F45" s="56"/>
      <c r="G45" s="56" t="s">
        <v>189</v>
      </c>
      <c r="H45" s="56">
        <v>21</v>
      </c>
      <c r="I45" s="56" t="s">
        <v>15</v>
      </c>
    </row>
    <row r="46" spans="2:17">
      <c r="D46" s="57"/>
      <c r="E46" s="57"/>
      <c r="F46" s="57"/>
      <c r="G46" s="57"/>
    </row>
    <row r="47" spans="2:17" ht="33.75">
      <c r="D47" s="159" t="s">
        <v>16</v>
      </c>
      <c r="E47" s="159"/>
      <c r="F47" s="159"/>
      <c r="G47" s="159" t="s">
        <v>17</v>
      </c>
      <c r="H47" s="159" t="s">
        <v>18</v>
      </c>
      <c r="I47" s="159" t="s">
        <v>19</v>
      </c>
    </row>
    <row r="48" spans="2:17">
      <c r="D48" s="61">
        <v>0.33333333333333298</v>
      </c>
      <c r="E48" s="61"/>
      <c r="F48" s="61"/>
      <c r="G48" s="62">
        <v>10</v>
      </c>
      <c r="H48" s="63">
        <f>D14</f>
        <v>62.5</v>
      </c>
      <c r="I48" s="130">
        <f>(H48*30%)+H48</f>
        <v>81.25</v>
      </c>
    </row>
    <row r="50" spans="3:14">
      <c r="C50" s="131" t="s">
        <v>20</v>
      </c>
      <c r="D50" s="131" t="s">
        <v>12</v>
      </c>
      <c r="E50" s="131"/>
      <c r="F50" s="131"/>
      <c r="G50" s="131" t="s">
        <v>21</v>
      </c>
      <c r="H50" s="131" t="s">
        <v>22</v>
      </c>
      <c r="I50" s="131" t="s">
        <v>23</v>
      </c>
      <c r="J50" s="131" t="s">
        <v>24</v>
      </c>
      <c r="K50" s="131" t="s">
        <v>25</v>
      </c>
      <c r="L50" s="131"/>
      <c r="M50" s="131"/>
      <c r="N50" s="131" t="s">
        <v>26</v>
      </c>
    </row>
    <row r="51" spans="3:14">
      <c r="C51" s="70" t="s">
        <v>352</v>
      </c>
      <c r="D51" s="71">
        <v>45890</v>
      </c>
      <c r="E51" s="71"/>
      <c r="F51" s="71"/>
      <c r="G51" s="72">
        <v>0</v>
      </c>
      <c r="H51" s="72">
        <v>0</v>
      </c>
      <c r="I51" s="73">
        <v>0</v>
      </c>
      <c r="J51" s="73">
        <f>IFERROR(IF(AND(G51&lt;&gt;"",H51&lt;&gt;""),IF(G51&gt;$B$14+TIME($C$14,($C$14-INT($C$14))*60,0),0,IF(H51&gt;$B$14+TIME($C$14,($C$14-INT($C$14))*60,0),MIN(TIME($C$14,($C$14-INT($C$14))*60,0),($B$14+TIME($C$14,($C$14-INT($C$14))*60,0)-G51)),MIN(IF((H51-$B$14)&lt;0,0,(H51-$B$14)),(H51-G51))))*24,"")-I51,"")</f>
        <v>0</v>
      </c>
      <c r="K51" s="73">
        <f>IF(AND(G51&lt;&gt;"",H51&lt;&gt;""),((IF(G51&lt;$D$48,MIN($D$48-G51,H51-G51),0)+IF(H51&gt;$D$48+TIME($G$48,($G$48-INT($G$48))*60,0),MIN((H51-$D$48-TIME($G$48,($G$48-INT($G$48))*60,0)),(H51-G51)),0))*24),"")</f>
        <v>0</v>
      </c>
      <c r="L51" s="73"/>
      <c r="M51" s="73"/>
      <c r="N51" s="99">
        <f>(J51*H48)</f>
        <v>0</v>
      </c>
    </row>
    <row r="52" spans="3:14">
      <c r="C52" s="70" t="s">
        <v>210</v>
      </c>
      <c r="D52" s="71">
        <v>25</v>
      </c>
      <c r="E52" s="71"/>
      <c r="F52" s="71"/>
      <c r="G52" s="72">
        <v>0</v>
      </c>
      <c r="H52" s="72">
        <v>0</v>
      </c>
      <c r="I52" s="73">
        <v>0</v>
      </c>
      <c r="J52" s="73">
        <f t="shared" ref="J52" si="8">IFERROR(IF(AND(G52&lt;&gt;"",H52&lt;&gt;""),IF(G52&gt;$B$14+TIME($C$14,($C$14-INT($C$14))*60,0),0,IF(H52&gt;$B$14+TIME($C$14,($C$14-INT($C$14))*60,0),MIN(TIME($C$14,($C$14-INT($C$14))*60,0),($B$14+TIME($C$14,($C$14-INT($C$14))*60,0)-G52)),MIN(IF((H52-$B$14)&lt;0,0,(H52-$B$14)),(H52-G52))))*24,"")-I52,"")</f>
        <v>0</v>
      </c>
      <c r="K52" s="73">
        <f t="shared" ref="K52" si="9">IF(AND(G52&lt;&gt;"",H52&lt;&gt;""),((IF(G52&lt;$D$48,MIN($D$48-G52,H52-G52),0)+IF(H52&gt;$D$48+TIME($G$48,($G$48-INT($G$48))*60,0),MIN((H52-$D$48-TIME($G$48,($G$48-INT($G$48))*60,0)),(H52-G52)),0))*24),"")</f>
        <v>0</v>
      </c>
      <c r="L52" s="73"/>
      <c r="M52" s="73"/>
      <c r="N52" s="99">
        <f>(J52*H48)</f>
        <v>0</v>
      </c>
    </row>
    <row r="53" spans="3:14"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318">
        <f>SUM(N51:N52)</f>
        <v>0</v>
      </c>
    </row>
    <row r="54" spans="3:14" ht="12" customHeight="1">
      <c r="N54" s="138"/>
    </row>
    <row r="55" spans="3:14">
      <c r="N55" s="138"/>
    </row>
    <row r="56" spans="3:14">
      <c r="D56" s="591">
        <v>44981</v>
      </c>
      <c r="E56" s="591"/>
      <c r="F56" s="591"/>
      <c r="G56" s="88"/>
      <c r="H56" s="148" t="s">
        <v>280</v>
      </c>
      <c r="I56" s="254"/>
      <c r="N56" s="138"/>
    </row>
    <row r="57" spans="3:14">
      <c r="E57" s="88"/>
      <c r="F57" s="88"/>
      <c r="G57" s="88">
        <f>G56*H57</f>
        <v>0</v>
      </c>
      <c r="H57" s="253">
        <v>0.3</v>
      </c>
      <c r="I57" s="254"/>
      <c r="N57" s="138"/>
    </row>
    <row r="58" spans="3:14">
      <c r="E58" s="91"/>
      <c r="F58" s="91"/>
      <c r="G58" s="91"/>
      <c r="N58" s="138"/>
    </row>
    <row r="59" spans="3:14">
      <c r="E59" s="91"/>
      <c r="F59" s="91"/>
      <c r="G59" s="91"/>
      <c r="H59" s="91">
        <f>G57</f>
        <v>0</v>
      </c>
      <c r="N59" s="138"/>
    </row>
    <row r="60" spans="3:14">
      <c r="D60" s="132"/>
      <c r="E60" s="132"/>
      <c r="F60" s="132"/>
      <c r="G60" s="133"/>
      <c r="H60" s="133"/>
      <c r="I60" s="133"/>
      <c r="N60" s="138"/>
    </row>
    <row r="61" spans="3:14">
      <c r="D61" s="132"/>
      <c r="E61" s="132"/>
      <c r="F61" s="132"/>
      <c r="G61" s="133"/>
      <c r="H61" s="133"/>
      <c r="I61" s="133"/>
      <c r="N61" s="138"/>
    </row>
    <row r="62" spans="3:14">
      <c r="D62" s="132"/>
      <c r="E62" s="132"/>
      <c r="F62" s="132"/>
      <c r="G62" s="133"/>
      <c r="H62" s="133"/>
      <c r="I62" s="133"/>
    </row>
    <row r="63" spans="3:14">
      <c r="D63" s="132"/>
      <c r="E63" s="132"/>
      <c r="F63" s="132"/>
      <c r="G63" s="133"/>
      <c r="H63" s="133"/>
      <c r="I63" s="133"/>
    </row>
    <row r="64" spans="3:14">
      <c r="F64" s="132"/>
      <c r="G64" s="133"/>
      <c r="H64" s="133"/>
      <c r="I64" s="133"/>
    </row>
    <row r="67" spans="3:3">
      <c r="C67" s="91" t="s">
        <v>141</v>
      </c>
    </row>
    <row r="68" spans="3:3">
      <c r="C68" t="s">
        <v>66</v>
      </c>
    </row>
    <row r="69" spans="3:3">
      <c r="C69" s="91"/>
    </row>
  </sheetData>
  <mergeCells count="12">
    <mergeCell ref="D56:F56"/>
    <mergeCell ref="A6:N6"/>
    <mergeCell ref="C7:D7"/>
    <mergeCell ref="M7:O7"/>
    <mergeCell ref="C8:D8"/>
    <mergeCell ref="M8:O8"/>
    <mergeCell ref="G32:H32"/>
    <mergeCell ref="G34:H34"/>
    <mergeCell ref="G36:H36"/>
    <mergeCell ref="G38:H38"/>
    <mergeCell ref="G39:H39"/>
    <mergeCell ref="B41:N41"/>
  </mergeCells>
  <conditionalFormatting sqref="C17:D17 N17:N31">
    <cfRule type="expression" dxfId="114" priority="38">
      <formula>ISNUMBER(SEARCH(TEXT($C17,"ddd"),$G$10))</formula>
    </cfRule>
  </conditionalFormatting>
  <conditionalFormatting sqref="C18:D31">
    <cfRule type="expression" dxfId="113" priority="39">
      <formula>ISNUMBER(SEARCH(TEXT($C18,"ddd"),$G$11))</formula>
    </cfRule>
  </conditionalFormatting>
  <conditionalFormatting sqref="C51:N52">
    <cfRule type="expression" dxfId="112" priority="5">
      <formula>ISNUMBER(SEARCH(TEXT($C51,"ddd"),$G$11))</formula>
    </cfRule>
  </conditionalFormatting>
  <conditionalFormatting sqref="E17:K31">
    <cfRule type="expression" dxfId="111" priority="1">
      <formula>ISNUMBER(SEARCH(TEXT($C17,"ddd"),$G$11))</formula>
    </cfRule>
  </conditionalFormatting>
  <dataValidations count="5">
    <dataValidation type="list" allowBlank="1" showInputMessage="1" showErrorMessage="1" sqref="E11:F11" xr:uid="{00000000-0002-0000-2700-000000000000}">
      <formula1>MOHAMMAD!DateCalc</formula1>
    </dataValidation>
    <dataValidation type="custom" allowBlank="1" showInputMessage="1" showErrorMessage="1" sqref="G51:G52 E17:G31" xr:uid="{00000000-0002-0000-2700-000001000000}">
      <formula1>AND($G17&lt;=1,ISNUMBER($G17))</formula1>
    </dataValidation>
    <dataValidation type="custom" allowBlank="1" showInputMessage="1" showErrorMessage="1" sqref="H51:H52 H17:H31" xr:uid="{00000000-0002-0000-2700-000002000000}">
      <formula1>AND($H17&lt;=1,ISNUMBER($H17),($H17&gt;=$G17))</formula1>
    </dataValidation>
    <dataValidation type="list" allowBlank="1" showInputMessage="1" showErrorMessage="1" sqref="D11 H45" xr:uid="{00000000-0002-0000-2700-000003000000}">
      <formula1>DateCalc</formula1>
    </dataValidation>
    <dataValidation type="list" allowBlank="1" showInputMessage="1" showErrorMessage="1" sqref="G11" xr:uid="{00000000-0002-0000-2700-000005000000}"/>
  </dataValidations>
  <pageMargins left="1.07083333333333" right="0.25" top="0.359722222222222" bottom="0.39791666666666697" header="0.29861111111111099" footer="0.29861111111111099"/>
  <pageSetup paperSize="9" scale="91" orientation="landscape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40321" r:id="rId4" name="Check Box 1">
              <controlPr defaultSize="0" print="0" autoPict="0">
                <anchor moveWithCells="1">
                  <from>
                    <xdr:col>7</xdr:col>
                    <xdr:colOff>180975</xdr:colOff>
                    <xdr:row>9</xdr:row>
                    <xdr:rowOff>28575</xdr:rowOff>
                  </from>
                  <to>
                    <xdr:col>8</xdr:col>
                    <xdr:colOff>571500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2700-000004000000}">
          <x14:formula1>
            <xm:f>Data!$D$2:$D$16</xm:f>
          </x14:formula1>
          <xm:sqref>I45</xm:sqref>
        </x14:dataValidation>
        <x14:dataValidation type="list" allowBlank="1" showInputMessage="1" showErrorMessage="1" xr:uid="{00000000-0002-0000-2700-000006000000}">
          <x14:formula1>
            <xm:f>Data!$B$2:$B$13</xm:f>
          </x14:formula1>
          <xm:sqref>C11 G45</xm:sqref>
        </x14:dataValidation>
        <x14:dataValidation type="list" allowBlank="1" showInputMessage="1" showErrorMessage="1" xr:uid="{00000000-0002-0000-2700-000007000000}">
          <x14:formula1>
            <xm:f>Data!$A$2:$A$12</xm:f>
          </x14:formula1>
          <xm:sqref>B11 D45:F45</xm:sqref>
        </x14:dataValidation>
      </x14:dataValidation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5:AH73"/>
  <sheetViews>
    <sheetView showGridLines="0" showWhiteSpace="0" view="pageLayout" topLeftCell="A14" zoomScaleNormal="100" workbookViewId="0">
      <selection activeCell="M25" sqref="M25"/>
    </sheetView>
  </sheetViews>
  <sheetFormatPr defaultColWidth="9" defaultRowHeight="12.75"/>
  <cols>
    <col min="1" max="1" width="1.625" customWidth="1"/>
    <col min="2" max="2" width="5.375" customWidth="1"/>
    <col min="3" max="3" width="7.125" customWidth="1"/>
    <col min="4" max="6" width="7.625" customWidth="1"/>
    <col min="7" max="7" width="10.125" customWidth="1"/>
    <col min="8" max="8" width="9.625" customWidth="1"/>
    <col min="9" max="9" width="8.125" customWidth="1"/>
    <col min="10" max="10" width="10.125" customWidth="1"/>
    <col min="11" max="11" width="7.875" customWidth="1"/>
    <col min="12" max="12" width="9.625" customWidth="1"/>
    <col min="13" max="13" width="11.375" customWidth="1"/>
    <col min="14" max="14" width="10.875" customWidth="1"/>
    <col min="15" max="15" width="16.875" customWidth="1"/>
    <col min="18" max="18" width="11.125" customWidth="1"/>
  </cols>
  <sheetData>
    <row r="5" spans="1:21" ht="25.5" customHeight="1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21" s="47" customFormat="1" ht="25.5" customHeight="1">
      <c r="A6" s="603"/>
      <c r="B6" s="603"/>
      <c r="C6" s="603"/>
      <c r="D6" s="603"/>
      <c r="E6" s="603"/>
      <c r="F6" s="603"/>
      <c r="G6" s="603"/>
      <c r="H6" s="603"/>
      <c r="I6" s="603"/>
      <c r="J6" s="603"/>
      <c r="K6" s="603"/>
      <c r="L6" s="603"/>
      <c r="M6" s="603"/>
      <c r="N6" s="603"/>
    </row>
    <row r="7" spans="1:21" ht="18.75" customHeight="1">
      <c r="C7" s="527" t="s">
        <v>3</v>
      </c>
      <c r="D7" s="527"/>
      <c r="E7" s="49"/>
      <c r="F7" s="49"/>
      <c r="G7" s="50" t="s">
        <v>368</v>
      </c>
      <c r="H7" s="51"/>
      <c r="K7" s="49" t="s">
        <v>174</v>
      </c>
      <c r="M7" s="599" t="str">
        <f>PAALAN!L7</f>
        <v>September  11-25, 2026</v>
      </c>
      <c r="N7" s="599"/>
      <c r="O7" s="599"/>
    </row>
    <row r="8" spans="1:21" ht="18.75" customHeight="1">
      <c r="C8" s="527" t="s">
        <v>175</v>
      </c>
      <c r="D8" s="527"/>
      <c r="E8" s="49"/>
      <c r="F8" s="49"/>
      <c r="G8" s="50" t="s">
        <v>101</v>
      </c>
      <c r="H8" s="51"/>
      <c r="K8" s="49" t="s">
        <v>176</v>
      </c>
      <c r="L8" s="92"/>
      <c r="M8" s="600" t="str">
        <f>PAALAN!L8</f>
        <v>9/31/2026</v>
      </c>
      <c r="N8" s="600"/>
      <c r="O8" s="600"/>
    </row>
    <row r="9" spans="1:21">
      <c r="C9" s="52"/>
      <c r="D9" s="53"/>
      <c r="E9" s="53"/>
      <c r="F9" s="53"/>
      <c r="G9" s="53"/>
    </row>
    <row r="10" spans="1:21">
      <c r="B10" s="54" t="s">
        <v>10</v>
      </c>
      <c r="C10" s="54" t="s">
        <v>11</v>
      </c>
      <c r="D10" s="54" t="s">
        <v>12</v>
      </c>
      <c r="E10" s="54"/>
      <c r="F10" s="54"/>
      <c r="G10" s="55" t="s">
        <v>13</v>
      </c>
    </row>
    <row r="11" spans="1:21">
      <c r="B11" s="56">
        <v>2025</v>
      </c>
      <c r="C11" s="56" t="s">
        <v>272</v>
      </c>
      <c r="D11" s="56">
        <v>11</v>
      </c>
      <c r="E11" s="56"/>
      <c r="F11" s="56"/>
      <c r="G11" s="56" t="s">
        <v>178</v>
      </c>
    </row>
    <row r="12" spans="1:21">
      <c r="B12" s="57"/>
      <c r="C12" s="57"/>
      <c r="H12" s="57"/>
      <c r="K12" s="57"/>
      <c r="L12" s="57"/>
      <c r="M12" s="57"/>
    </row>
    <row r="13" spans="1:21" ht="32.1" customHeight="1">
      <c r="B13" s="159" t="s">
        <v>16</v>
      </c>
      <c r="C13" s="159" t="s">
        <v>17</v>
      </c>
      <c r="D13" s="159" t="s">
        <v>18</v>
      </c>
      <c r="E13" s="160"/>
      <c r="F13" s="160"/>
      <c r="G13" s="160" t="s">
        <v>19</v>
      </c>
      <c r="H13" s="161" t="s">
        <v>179</v>
      </c>
      <c r="L13" s="93"/>
      <c r="M13" s="93"/>
      <c r="N13" s="94"/>
      <c r="O13" s="159" t="s">
        <v>16</v>
      </c>
      <c r="P13" s="159" t="s">
        <v>17</v>
      </c>
      <c r="Q13" s="159" t="s">
        <v>18</v>
      </c>
      <c r="R13" s="160"/>
      <c r="S13" s="160"/>
      <c r="T13" s="160" t="s">
        <v>19</v>
      </c>
      <c r="U13" s="161" t="s">
        <v>179</v>
      </c>
    </row>
    <row r="14" spans="1:21">
      <c r="B14" s="61">
        <v>0.27083333333333331</v>
      </c>
      <c r="C14" s="62">
        <v>10.5</v>
      </c>
      <c r="D14" s="63">
        <f>(14000/26)/8</f>
        <v>67.307692307692307</v>
      </c>
      <c r="E14" s="142"/>
      <c r="F14" s="142"/>
      <c r="G14" s="64">
        <f>(D14*25%)+D14</f>
        <v>84.134615384615387</v>
      </c>
      <c r="H14" s="65">
        <v>96.5</v>
      </c>
      <c r="I14" s="95"/>
      <c r="L14" s="57"/>
      <c r="M14" s="57"/>
      <c r="N14" s="95"/>
      <c r="O14" s="61">
        <v>0.375</v>
      </c>
      <c r="P14" s="62">
        <v>3</v>
      </c>
      <c r="Q14" s="63">
        <f>(14427.92/26)/8</f>
        <v>69.364999999999995</v>
      </c>
      <c r="R14" s="142"/>
      <c r="S14" s="142"/>
      <c r="T14" s="64">
        <f>(Q14*25%)+Q14</f>
        <v>86.706249999999997</v>
      </c>
      <c r="U14" s="65">
        <v>99</v>
      </c>
    </row>
    <row r="15" spans="1:21">
      <c r="H15" s="65"/>
      <c r="N15" s="96"/>
    </row>
    <row r="16" spans="1:21" ht="23.25">
      <c r="B16" s="66"/>
      <c r="C16" s="67" t="s">
        <v>20</v>
      </c>
      <c r="D16" s="67" t="s">
        <v>12</v>
      </c>
      <c r="E16" s="67"/>
      <c r="F16" s="67"/>
      <c r="G16" s="67" t="s">
        <v>21</v>
      </c>
      <c r="H16" s="67" t="s">
        <v>22</v>
      </c>
      <c r="I16" s="68" t="s">
        <v>23</v>
      </c>
      <c r="J16" s="68" t="s">
        <v>24</v>
      </c>
      <c r="K16" s="68" t="s">
        <v>25</v>
      </c>
      <c r="L16" s="67" t="s">
        <v>180</v>
      </c>
      <c r="M16" s="134" t="s">
        <v>181</v>
      </c>
      <c r="N16" s="67" t="s">
        <v>26</v>
      </c>
    </row>
    <row r="17" spans="2:34">
      <c r="B17" s="69">
        <v>1</v>
      </c>
      <c r="C17" s="70">
        <f>DATE($B$11,MATCH($C$11,Data!$B$2:$B$13,0),MACATANGAY!$D$11)</f>
        <v>45941</v>
      </c>
      <c r="D17" s="71">
        <f>DATE($B$11,MATCH($C$11,Data!$B$2:$B$13,0),MACATANGAY!$D$11)</f>
        <v>45941</v>
      </c>
      <c r="E17" s="72">
        <v>0.27777777777777779</v>
      </c>
      <c r="F17" s="72">
        <v>6.9444444444444441E-3</v>
      </c>
      <c r="G17" s="72">
        <f t="shared" ref="G17:G31" si="0">E17-F17</f>
        <v>0.27083333333333337</v>
      </c>
      <c r="H17" s="72">
        <v>0.70833333333333337</v>
      </c>
      <c r="I17" s="73">
        <v>1</v>
      </c>
      <c r="J17" s="73">
        <f t="shared" ref="J17:J31" si="1">IFERROR(IF(AND(G17&lt;&gt;"",H17&lt;&gt;""),IF(G17&gt;$B$14+TIME($C$14,($C$14-INT($C$14))*60,0),0,IF(H17&gt;$B$14+TIME($C$14,($C$14-INT($C$14))*60,0),MIN(TIME($C$14,($C$14-INT($C$14))*60,0),($B$14+TIME($C$14,($C$14-INT($C$14))*60,0)-G17)),MIN(IF((H17-$B$14)&lt;0,0,(H17-$B$14)),(H17-G17))))*24,"")-I17,"")</f>
        <v>9.5</v>
      </c>
      <c r="K17" s="73">
        <f t="shared" ref="K17:K28" si="2">IF(AND(G17&lt;&gt;"",H17&lt;&gt;""),((IF(G17&lt;$B$14,MIN($B$14-G17,H17-G17),0)+IF(H17&gt;$B$14+TIME($C$14,($C$14-INT($C$14))*60,0),MIN((H17-$B$14-TIME($C$14,($C$14-INT($C$14))*60,0)),(H17-G17)),0))*24),"")</f>
        <v>0</v>
      </c>
      <c r="L17" s="110">
        <f>G17-B14</f>
        <v>0</v>
      </c>
      <c r="M17" s="102">
        <v>0</v>
      </c>
      <c r="N17" s="111">
        <f>IFERROR(J17*IF(AND(ISNUMBER(SEARCH(TEXT(C17,"ddd"),$G$11)),Data!$F$2),$G$14,$D$14)+K17*$G$14,"")</f>
        <v>639.42307692307691</v>
      </c>
      <c r="O17" s="141">
        <f t="shared" ref="O17:O30" si="3">M17+N17</f>
        <v>639.42307692307691</v>
      </c>
      <c r="P17" s="100"/>
      <c r="Q17" s="89"/>
    </row>
    <row r="18" spans="2:34">
      <c r="B18" s="69">
        <v>2</v>
      </c>
      <c r="C18" s="70">
        <f t="shared" ref="C18:D31" si="4">C17+1</f>
        <v>45942</v>
      </c>
      <c r="D18" s="71">
        <f t="shared" si="4"/>
        <v>45942</v>
      </c>
      <c r="E18" s="72">
        <v>0</v>
      </c>
      <c r="F18" s="72">
        <v>0</v>
      </c>
      <c r="G18" s="72">
        <f t="shared" si="0"/>
        <v>0</v>
      </c>
      <c r="H18" s="72">
        <v>0</v>
      </c>
      <c r="I18" s="73">
        <v>0</v>
      </c>
      <c r="J18" s="73">
        <f t="shared" si="1"/>
        <v>0</v>
      </c>
      <c r="K18" s="73">
        <f t="shared" si="2"/>
        <v>0</v>
      </c>
      <c r="L18" s="110">
        <v>0</v>
      </c>
      <c r="M18" s="98">
        <f>(D14/60)*0</f>
        <v>0</v>
      </c>
      <c r="N18" s="251">
        <f>IFERROR(J18*IF(AND(ISNUMBER(SEARCH(TEXT(C18,"ddd"),$G$11)),Data!$F$2),$G$14,$D$14)+K18*$G$14,"")</f>
        <v>0</v>
      </c>
      <c r="O18" s="141">
        <f t="shared" si="3"/>
        <v>0</v>
      </c>
      <c r="P18" s="89"/>
      <c r="Q18" s="89"/>
    </row>
    <row r="19" spans="2:34">
      <c r="B19" s="69">
        <v>3</v>
      </c>
      <c r="C19" s="70">
        <f t="shared" si="4"/>
        <v>45943</v>
      </c>
      <c r="D19" s="71">
        <f t="shared" si="4"/>
        <v>45943</v>
      </c>
      <c r="E19" s="72">
        <v>0.27777777777777779</v>
      </c>
      <c r="F19" s="72">
        <v>6.9444444444444441E-3</v>
      </c>
      <c r="G19" s="72">
        <f t="shared" si="0"/>
        <v>0.27083333333333337</v>
      </c>
      <c r="H19" s="72">
        <v>0.70833333333333337</v>
      </c>
      <c r="I19" s="73">
        <v>1</v>
      </c>
      <c r="J19" s="73">
        <f t="shared" si="1"/>
        <v>9.5</v>
      </c>
      <c r="K19" s="73">
        <f t="shared" si="2"/>
        <v>0</v>
      </c>
      <c r="L19" s="110">
        <f>G19-B14</f>
        <v>0</v>
      </c>
      <c r="M19" s="102">
        <f>(D14/60)*0</f>
        <v>0</v>
      </c>
      <c r="N19" s="111">
        <f>IFERROR(J19*IF(AND(ISNUMBER(SEARCH(TEXT(C19,"ddd"),$G$11)),Data!$F$2),$G$14,$D$14)+K19*$G$14,"")</f>
        <v>639.42307692307691</v>
      </c>
      <c r="O19" s="141">
        <f t="shared" si="3"/>
        <v>639.42307692307691</v>
      </c>
      <c r="P19" s="100"/>
      <c r="Q19" s="104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</row>
    <row r="20" spans="2:34">
      <c r="B20" s="69">
        <v>4</v>
      </c>
      <c r="C20" s="70">
        <f t="shared" si="4"/>
        <v>45944</v>
      </c>
      <c r="D20" s="71">
        <f t="shared" si="4"/>
        <v>45944</v>
      </c>
      <c r="E20" s="72">
        <v>0</v>
      </c>
      <c r="F20" s="72">
        <v>0</v>
      </c>
      <c r="G20" s="72">
        <f t="shared" si="0"/>
        <v>0</v>
      </c>
      <c r="H20" s="72">
        <v>0</v>
      </c>
      <c r="I20" s="73">
        <v>0</v>
      </c>
      <c r="J20" s="73">
        <f t="shared" si="1"/>
        <v>0</v>
      </c>
      <c r="K20" s="73">
        <f t="shared" si="2"/>
        <v>0</v>
      </c>
      <c r="L20" s="110">
        <v>0</v>
      </c>
      <c r="M20" s="102">
        <f>(D14/60)*0</f>
        <v>0</v>
      </c>
      <c r="N20" s="111">
        <f>IFERROR(J20*IF(AND(ISNUMBER(SEARCH(TEXT(C20,"ddd"),$G$11)),Data!$F$2),$G$14,$D$14)+K20*$G$14,"")</f>
        <v>0</v>
      </c>
      <c r="O20" s="141">
        <f t="shared" si="3"/>
        <v>0</v>
      </c>
      <c r="P20" s="103"/>
      <c r="Q20" s="103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28"/>
    </row>
    <row r="21" spans="2:34">
      <c r="B21" s="69">
        <v>5</v>
      </c>
      <c r="C21" s="70">
        <f t="shared" si="4"/>
        <v>45945</v>
      </c>
      <c r="D21" s="71">
        <f t="shared" si="4"/>
        <v>45945</v>
      </c>
      <c r="E21" s="72">
        <v>0.27777777777777779</v>
      </c>
      <c r="F21" s="72">
        <v>6.9444444444444441E-3</v>
      </c>
      <c r="G21" s="72">
        <f t="shared" si="0"/>
        <v>0.27083333333333337</v>
      </c>
      <c r="H21" s="72">
        <v>0.70833333333333337</v>
      </c>
      <c r="I21" s="73">
        <v>1</v>
      </c>
      <c r="J21" s="73">
        <f>IFERROR(IF(AND(G21&lt;&gt;"",H21&lt;&gt;""),IF(G21&gt;$B$14+TIME($C$14,($C$14-INT($C$14))*60,0),0,IF(H21&gt;$B$14+TIME($C$14,($C$14-INT($C$14))*60,0),MIN(TIME($C$14,($C$14-INT($C$14))*60,0),($B$14+TIME($C$14,($C$14-INT($C$14))*60,0)-G21)),MIN(IF((H21-$B$14)&lt;0,0,(H21-$B$14)),(H21-G21))))*24,"")-I21,"")</f>
        <v>9.5</v>
      </c>
      <c r="K21" s="73">
        <f t="shared" si="2"/>
        <v>0</v>
      </c>
      <c r="L21" s="110">
        <f>G21-B14</f>
        <v>0</v>
      </c>
      <c r="M21" s="102">
        <f>(D14/60)*0</f>
        <v>0</v>
      </c>
      <c r="N21" s="111">
        <f>IFERROR(J21*IF(AND(ISNUMBER(SEARCH(TEXT(C21,"ddd"),$G$11)),Data!$F$2),$G$14,$D$14)+K21*$G$14,"")</f>
        <v>639.42307692307691</v>
      </c>
      <c r="O21" s="141">
        <f t="shared" si="3"/>
        <v>639.42307692307691</v>
      </c>
      <c r="P21" s="162"/>
      <c r="Q21" s="108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4"/>
    </row>
    <row r="22" spans="2:34">
      <c r="B22" s="69">
        <v>6</v>
      </c>
      <c r="C22" s="70">
        <f t="shared" si="4"/>
        <v>45946</v>
      </c>
      <c r="D22" s="71">
        <f t="shared" si="4"/>
        <v>45946</v>
      </c>
      <c r="E22" s="72">
        <v>0.27777777777777779</v>
      </c>
      <c r="F22" s="72">
        <v>6.9444444444444441E-3</v>
      </c>
      <c r="G22" s="72">
        <f t="shared" si="0"/>
        <v>0.27083333333333337</v>
      </c>
      <c r="H22" s="72">
        <v>0.5</v>
      </c>
      <c r="I22" s="73">
        <v>0</v>
      </c>
      <c r="J22" s="73">
        <f t="shared" si="1"/>
        <v>5.4999999999999991</v>
      </c>
      <c r="K22" s="73">
        <f t="shared" si="2"/>
        <v>0</v>
      </c>
      <c r="L22" s="110">
        <v>0</v>
      </c>
      <c r="M22" s="102">
        <f>(D14/60)*0</f>
        <v>0</v>
      </c>
      <c r="N22" s="111">
        <f>IFERROR(J22*IF(AND(ISNUMBER(SEARCH(TEXT(C22,"ddd"),$G$11)),Data!$F$2),$G$14,$D$14)+K22*$G$14,"")</f>
        <v>370.19230769230762</v>
      </c>
      <c r="O22" s="141">
        <f t="shared" si="3"/>
        <v>370.19230769230762</v>
      </c>
      <c r="P22" s="163">
        <f>O21-O22</f>
        <v>269.23076923076928</v>
      </c>
      <c r="Q22" s="135"/>
      <c r="R22" s="96">
        <v>0.40486111111111101</v>
      </c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4"/>
    </row>
    <row r="23" spans="2:34">
      <c r="B23" s="69"/>
      <c r="C23" s="70">
        <f t="shared" si="4"/>
        <v>45947</v>
      </c>
      <c r="D23" s="71">
        <f t="shared" si="4"/>
        <v>45947</v>
      </c>
      <c r="E23" s="72">
        <v>0.27777777777777779</v>
      </c>
      <c r="F23" s="72">
        <v>0</v>
      </c>
      <c r="G23" s="72">
        <f t="shared" si="0"/>
        <v>0.27777777777777779</v>
      </c>
      <c r="H23" s="72">
        <v>0</v>
      </c>
      <c r="I23" s="73">
        <v>0</v>
      </c>
      <c r="J23" s="73">
        <f t="shared" si="1"/>
        <v>-6.666666666666667</v>
      </c>
      <c r="K23" s="73">
        <f t="shared" si="2"/>
        <v>0</v>
      </c>
      <c r="L23" s="110">
        <v>0</v>
      </c>
      <c r="M23" s="102">
        <f>(D14/60)*0</f>
        <v>0</v>
      </c>
      <c r="N23" s="111">
        <f>IFERROR(J23*IF(AND(ISNUMBER(SEARCH(TEXT(C23,"ddd"),$G$11)),Data!$F$2),$G$14,$D$14)+K23*$G$14,"")</f>
        <v>-448.71794871794873</v>
      </c>
      <c r="O23" s="141">
        <f t="shared" si="3"/>
        <v>-448.71794871794873</v>
      </c>
      <c r="P23" s="150"/>
      <c r="Q23" s="89"/>
      <c r="R23" s="96">
        <v>1.0416666666666701E-2</v>
      </c>
    </row>
    <row r="24" spans="2:34">
      <c r="B24" s="69">
        <v>7</v>
      </c>
      <c r="C24" s="70">
        <f t="shared" si="4"/>
        <v>45948</v>
      </c>
      <c r="D24" s="71">
        <f t="shared" si="4"/>
        <v>45948</v>
      </c>
      <c r="E24" s="72">
        <v>0.27777777777777779</v>
      </c>
      <c r="F24" s="72">
        <v>6.9444444444444441E-3</v>
      </c>
      <c r="G24" s="72">
        <f t="shared" si="0"/>
        <v>0.27083333333333337</v>
      </c>
      <c r="H24" s="72">
        <v>0.70833333333333337</v>
      </c>
      <c r="I24" s="73">
        <v>1</v>
      </c>
      <c r="J24" s="73">
        <f t="shared" si="1"/>
        <v>9.5</v>
      </c>
      <c r="K24" s="73">
        <f t="shared" si="2"/>
        <v>0</v>
      </c>
      <c r="L24" s="110">
        <f>G24-B14</f>
        <v>0</v>
      </c>
      <c r="M24" s="102">
        <f>(D14/60)*0</f>
        <v>0</v>
      </c>
      <c r="N24" s="111">
        <f>IFERROR(J24*IF(AND(ISNUMBER(SEARCH(TEXT(C24,"ddd"),$G$11)),Data!$F$2),$G$14,$D$14)+K24*$G$14,"")</f>
        <v>639.42307692307691</v>
      </c>
      <c r="O24" s="141">
        <f t="shared" si="3"/>
        <v>639.42307692307691</v>
      </c>
      <c r="P24" s="155"/>
      <c r="Q24" s="89"/>
      <c r="R24" s="129">
        <f>R22-R23</f>
        <v>0.39444444444444432</v>
      </c>
    </row>
    <row r="25" spans="2:34">
      <c r="B25" s="69">
        <v>8</v>
      </c>
      <c r="C25" s="70">
        <f t="shared" si="4"/>
        <v>45949</v>
      </c>
      <c r="D25" s="71">
        <f t="shared" si="4"/>
        <v>45949</v>
      </c>
      <c r="E25" s="72">
        <v>0</v>
      </c>
      <c r="F25" s="72">
        <v>0</v>
      </c>
      <c r="G25" s="72">
        <f t="shared" si="0"/>
        <v>0</v>
      </c>
      <c r="H25" s="72">
        <v>0</v>
      </c>
      <c r="I25" s="73">
        <v>0</v>
      </c>
      <c r="J25" s="73">
        <f t="shared" si="1"/>
        <v>0</v>
      </c>
      <c r="K25" s="73">
        <f t="shared" si="2"/>
        <v>0</v>
      </c>
      <c r="L25" s="110">
        <v>0</v>
      </c>
      <c r="M25" s="98">
        <f>(D14/60)*0</f>
        <v>0</v>
      </c>
      <c r="N25" s="251">
        <f>IFERROR(J25*IF(AND(ISNUMBER(SEARCH(TEXT(C25,"ddd"),$G$11)),Data!$F$2),$G$14,$D$14)+K25*$G$14,"")</f>
        <v>0</v>
      </c>
      <c r="O25" s="141">
        <f t="shared" si="3"/>
        <v>0</v>
      </c>
      <c r="P25" s="89"/>
      <c r="Q25" s="89"/>
    </row>
    <row r="26" spans="2:34">
      <c r="B26" s="69">
        <v>9</v>
      </c>
      <c r="C26" s="70">
        <f t="shared" si="4"/>
        <v>45950</v>
      </c>
      <c r="D26" s="71">
        <f t="shared" si="4"/>
        <v>45950</v>
      </c>
      <c r="E26" s="72">
        <v>0.27777777777777779</v>
      </c>
      <c r="F26" s="72">
        <v>6.9444444444444441E-3</v>
      </c>
      <c r="G26" s="72">
        <f t="shared" si="0"/>
        <v>0.27083333333333337</v>
      </c>
      <c r="H26" s="72">
        <v>0.70833333333333337</v>
      </c>
      <c r="I26" s="73">
        <v>1</v>
      </c>
      <c r="J26" s="73">
        <f t="shared" si="1"/>
        <v>9.5</v>
      </c>
      <c r="K26" s="73">
        <f t="shared" si="2"/>
        <v>0</v>
      </c>
      <c r="L26" s="110">
        <f>G26-B14</f>
        <v>0</v>
      </c>
      <c r="M26" s="102">
        <f>(D14/60)*0</f>
        <v>0</v>
      </c>
      <c r="N26" s="111">
        <f>IFERROR(J26*IF(AND(ISNUMBER(SEARCH(TEXT(C26,"ddd"),$G$11)),Data!$F$2),$G$14,$D$14)+K26*$G$14,"")</f>
        <v>639.42307692307691</v>
      </c>
      <c r="O26" s="141">
        <f t="shared" si="3"/>
        <v>639.42307692307691</v>
      </c>
      <c r="P26" s="89"/>
      <c r="Q26" s="89"/>
    </row>
    <row r="27" spans="2:34">
      <c r="B27" s="69">
        <v>10</v>
      </c>
      <c r="C27" s="70">
        <f t="shared" si="4"/>
        <v>45951</v>
      </c>
      <c r="D27" s="71">
        <f t="shared" si="4"/>
        <v>45951</v>
      </c>
      <c r="E27" s="72">
        <v>0</v>
      </c>
      <c r="F27" s="72">
        <v>0</v>
      </c>
      <c r="G27" s="72">
        <f t="shared" si="0"/>
        <v>0</v>
      </c>
      <c r="H27" s="72">
        <v>0</v>
      </c>
      <c r="I27" s="73">
        <v>0</v>
      </c>
      <c r="J27" s="73">
        <f t="shared" si="1"/>
        <v>0</v>
      </c>
      <c r="K27" s="73">
        <f t="shared" si="2"/>
        <v>0</v>
      </c>
      <c r="L27" s="101">
        <v>0</v>
      </c>
      <c r="M27" s="102">
        <f>(D14/60)*0</f>
        <v>0</v>
      </c>
      <c r="N27" s="111">
        <f>IFERROR(J27*IF(AND(ISNUMBER(SEARCH(TEXT(C27,"ddd"),$G$11)),Data!$F$2),$G$14,$D$14)+K27*$G$14,"")</f>
        <v>0</v>
      </c>
      <c r="O27" s="141">
        <f t="shared" si="3"/>
        <v>0</v>
      </c>
      <c r="P27" s="127"/>
      <c r="Q27" s="89"/>
    </row>
    <row r="28" spans="2:34">
      <c r="B28" s="69">
        <v>11</v>
      </c>
      <c r="C28" s="70">
        <f t="shared" si="4"/>
        <v>45952</v>
      </c>
      <c r="D28" s="71">
        <f t="shared" si="4"/>
        <v>45952</v>
      </c>
      <c r="E28" s="72">
        <v>0.27777777777777779</v>
      </c>
      <c r="F28" s="72">
        <v>6.9444444444444441E-3</v>
      </c>
      <c r="G28" s="72">
        <f t="shared" si="0"/>
        <v>0.27083333333333337</v>
      </c>
      <c r="H28" s="72">
        <v>0.70833333333333337</v>
      </c>
      <c r="I28" s="73">
        <v>1</v>
      </c>
      <c r="J28" s="73">
        <f t="shared" si="1"/>
        <v>9.5</v>
      </c>
      <c r="K28" s="73">
        <f t="shared" si="2"/>
        <v>0</v>
      </c>
      <c r="L28" s="110">
        <f>G28-B14</f>
        <v>0</v>
      </c>
      <c r="M28" s="102">
        <f>(D14/60)*0</f>
        <v>0</v>
      </c>
      <c r="N28" s="111">
        <f>IFERROR(J28*IF(AND(ISNUMBER(SEARCH(TEXT(C28,"ddd"),$G$11)),Data!$F$2),$G$14,$D$14)+K28*$G$14,"")</f>
        <v>639.42307692307691</v>
      </c>
      <c r="O28" s="141">
        <f t="shared" si="3"/>
        <v>639.42307692307691</v>
      </c>
      <c r="Q28" s="89"/>
    </row>
    <row r="29" spans="2:34">
      <c r="B29" s="69">
        <v>12</v>
      </c>
      <c r="C29" s="70">
        <f t="shared" si="4"/>
        <v>45953</v>
      </c>
      <c r="D29" s="71">
        <f t="shared" si="4"/>
        <v>45953</v>
      </c>
      <c r="E29" s="72">
        <v>0.27777777777777779</v>
      </c>
      <c r="F29" s="72">
        <v>6.9444444444444441E-3</v>
      </c>
      <c r="G29" s="72">
        <f t="shared" si="0"/>
        <v>0.27083333333333337</v>
      </c>
      <c r="H29" s="72">
        <v>0.5</v>
      </c>
      <c r="I29" s="73">
        <v>0</v>
      </c>
      <c r="J29" s="73">
        <f t="shared" si="1"/>
        <v>5.4999999999999991</v>
      </c>
      <c r="K29" s="73">
        <v>0</v>
      </c>
      <c r="L29" s="110">
        <v>0</v>
      </c>
      <c r="M29" s="102">
        <f>(D14/60)*0</f>
        <v>0</v>
      </c>
      <c r="N29" s="111">
        <f>IFERROR(J29*IF(AND(ISNUMBER(SEARCH(TEXT(C29,"ddd"),$G$11)),Data!$F$2),$G$14,$D$14)+K29*$G$14,"")</f>
        <v>370.19230769230762</v>
      </c>
      <c r="O29" s="141">
        <f>M29+N29</f>
        <v>370.19230769230762</v>
      </c>
      <c r="P29" s="95">
        <f>O28-O29</f>
        <v>269.23076923076928</v>
      </c>
      <c r="Q29" s="89"/>
    </row>
    <row r="30" spans="2:34">
      <c r="B30" s="69"/>
      <c r="C30" s="70">
        <f t="shared" si="4"/>
        <v>45954</v>
      </c>
      <c r="D30" s="71">
        <f t="shared" si="4"/>
        <v>45954</v>
      </c>
      <c r="E30" s="72">
        <v>0.27777777777777779</v>
      </c>
      <c r="F30" s="72">
        <v>0</v>
      </c>
      <c r="G30" s="72">
        <f t="shared" si="0"/>
        <v>0.27777777777777779</v>
      </c>
      <c r="H30" s="72">
        <v>0</v>
      </c>
      <c r="I30" s="73">
        <v>0</v>
      </c>
      <c r="J30" s="73">
        <f t="shared" si="1"/>
        <v>-6.666666666666667</v>
      </c>
      <c r="K30" s="73">
        <v>0</v>
      </c>
      <c r="L30" s="110">
        <v>0</v>
      </c>
      <c r="M30" s="102">
        <f>(D14/60)*0</f>
        <v>0</v>
      </c>
      <c r="N30" s="111">
        <f>IFERROR(J30*IF(AND(ISNUMBER(SEARCH(TEXT(C30,"ddd"),$G$11)),Data!$F$2),$G$14,$D$14)+K30*$G$14,"")</f>
        <v>-448.71794871794873</v>
      </c>
      <c r="O30" s="141">
        <f t="shared" si="3"/>
        <v>-448.71794871794873</v>
      </c>
      <c r="P30" s="127"/>
      <c r="Q30" s="89"/>
    </row>
    <row r="31" spans="2:34">
      <c r="B31" s="69">
        <v>13</v>
      </c>
      <c r="C31" s="70">
        <f t="shared" si="4"/>
        <v>45955</v>
      </c>
      <c r="D31" s="71">
        <f t="shared" si="4"/>
        <v>45955</v>
      </c>
      <c r="E31" s="72">
        <v>0.27777777777777779</v>
      </c>
      <c r="F31" s="72">
        <v>0</v>
      </c>
      <c r="G31" s="72">
        <f t="shared" si="0"/>
        <v>0.27777777777777779</v>
      </c>
      <c r="H31" s="72">
        <v>0</v>
      </c>
      <c r="I31" s="73">
        <v>0</v>
      </c>
      <c r="J31" s="73">
        <f t="shared" si="1"/>
        <v>-6.666666666666667</v>
      </c>
      <c r="K31" s="73">
        <f t="shared" ref="K31" si="5">IF(AND(G31&lt;&gt;"",H31&lt;&gt;""),((IF(G31&lt;$B$14,MIN($B$14-G31,H31-G31),0)+IF(H31&gt;$B$14+TIME($C$14,($C$14-INT($C$14))*60,0),MIN((H31-$B$14-TIME($C$14,($C$14-INT($C$14))*60,0)),(H31-G31)),0))*24),"")</f>
        <v>0</v>
      </c>
      <c r="L31" s="101">
        <v>0</v>
      </c>
      <c r="M31" s="102">
        <f>(D14/60)*0</f>
        <v>0</v>
      </c>
      <c r="N31" s="111">
        <f>IFERROR(J31*IF(AND(ISNUMBER(SEARCH(TEXT(C31,"ddd"),$G$11)),Data!$F$2),$G$14,$D$14)+K31*$G$14,"")</f>
        <v>-448.71794871794873</v>
      </c>
      <c r="O31" s="141">
        <f>M31+N31</f>
        <v>-448.71794871794873</v>
      </c>
      <c r="P31" s="95">
        <f>O28-O31</f>
        <v>1088.1410256410256</v>
      </c>
    </row>
    <row r="32" spans="2:34">
      <c r="B32" s="66"/>
      <c r="C32" s="76"/>
      <c r="D32" s="77"/>
      <c r="E32" s="144"/>
      <c r="F32" s="144"/>
      <c r="G32" s="597" t="s">
        <v>182</v>
      </c>
      <c r="H32" s="598"/>
      <c r="I32" s="80">
        <f>SUM(I17:I31)</f>
        <v>6</v>
      </c>
      <c r="J32" s="80">
        <f>SUM(J17:J31)</f>
        <v>48</v>
      </c>
      <c r="K32" s="80">
        <f>SUM(K17:K31)</f>
        <v>0</v>
      </c>
      <c r="L32" s="113">
        <f>SUM(L17:L31)</f>
        <v>0</v>
      </c>
      <c r="M32" s="114">
        <f>SUM(M17:M31)</f>
        <v>0</v>
      </c>
      <c r="N32" s="66"/>
      <c r="O32" s="165">
        <f>SUM(O17:O31)</f>
        <v>3230.7692307692305</v>
      </c>
      <c r="P32" s="165">
        <f>SUM(P17:P31)</f>
        <v>1626.6025641025642</v>
      </c>
      <c r="Q32" s="95">
        <f>O32+P32</f>
        <v>4857.3717948717949</v>
      </c>
    </row>
    <row r="33" spans="2:17">
      <c r="B33" s="66"/>
      <c r="C33" s="76"/>
      <c r="D33" s="77"/>
      <c r="E33" s="144"/>
      <c r="F33" s="144"/>
      <c r="G33" s="81" t="s">
        <v>39</v>
      </c>
      <c r="H33" s="82"/>
      <c r="I33" s="83"/>
      <c r="J33" s="84"/>
      <c r="K33" s="116"/>
      <c r="L33" s="102">
        <f>(D14/60)*0</f>
        <v>0</v>
      </c>
      <c r="M33" s="118"/>
      <c r="N33" s="166">
        <f>D14*H14</f>
        <v>6495.1923076923076</v>
      </c>
      <c r="O33" s="95"/>
      <c r="P33" s="95"/>
      <c r="Q33" s="95"/>
    </row>
    <row r="34" spans="2:17">
      <c r="B34" s="65"/>
      <c r="C34" s="65"/>
      <c r="D34" s="85"/>
      <c r="E34" s="85"/>
      <c r="F34" s="85"/>
      <c r="G34" s="592" t="s">
        <v>183</v>
      </c>
      <c r="H34" s="592"/>
      <c r="I34" s="80"/>
      <c r="J34" s="80">
        <f>H14-J32</f>
        <v>48.5</v>
      </c>
      <c r="K34" s="65"/>
      <c r="L34" s="120"/>
      <c r="M34" s="65"/>
      <c r="N34" s="121">
        <f>L33</f>
        <v>0</v>
      </c>
      <c r="O34" s="151">
        <f>O32-O33</f>
        <v>3230.7692307692305</v>
      </c>
      <c r="P34" s="95"/>
      <c r="Q34" s="95"/>
    </row>
    <row r="35" spans="2:17">
      <c r="B35" s="65"/>
      <c r="C35" s="65"/>
      <c r="D35" s="85"/>
      <c r="E35" s="145"/>
      <c r="F35" s="145"/>
      <c r="G35" s="78" t="s">
        <v>41</v>
      </c>
      <c r="H35" s="79"/>
      <c r="I35" s="66"/>
      <c r="J35" s="66"/>
      <c r="K35" s="80"/>
      <c r="L35" s="80"/>
      <c r="M35" s="80"/>
      <c r="N35" s="121">
        <f>N33-N34</f>
        <v>6495.1923076923076</v>
      </c>
      <c r="O35" s="95"/>
      <c r="P35" s="95"/>
      <c r="Q35" s="95"/>
    </row>
    <row r="36" spans="2:17">
      <c r="B36" s="65"/>
      <c r="C36" s="65"/>
      <c r="D36" s="85"/>
      <c r="E36" s="146"/>
      <c r="F36" s="146"/>
      <c r="G36" s="604" t="s">
        <v>184</v>
      </c>
      <c r="H36" s="605"/>
      <c r="I36" s="80"/>
      <c r="J36" s="401">
        <f>(J32+K32)-H14</f>
        <v>-48.5</v>
      </c>
      <c r="K36" s="122"/>
      <c r="L36" s="122"/>
      <c r="M36" s="122"/>
      <c r="N36" s="123">
        <v>0</v>
      </c>
      <c r="O36" s="95"/>
    </row>
    <row r="37" spans="2:17">
      <c r="B37" s="65"/>
      <c r="C37" s="65"/>
      <c r="D37" s="85"/>
      <c r="E37" s="146"/>
      <c r="F37" s="146"/>
      <c r="G37" s="86" t="s">
        <v>185</v>
      </c>
      <c r="H37" s="87"/>
      <c r="I37" s="80"/>
      <c r="J37" s="66"/>
      <c r="K37" s="122"/>
      <c r="L37" s="122"/>
      <c r="M37" s="122"/>
      <c r="N37" s="123">
        <f>N53</f>
        <v>1470.6721538461541</v>
      </c>
      <c r="O37" s="95"/>
    </row>
    <row r="38" spans="2:17">
      <c r="B38" s="65"/>
      <c r="C38" s="65"/>
      <c r="D38" s="85"/>
      <c r="E38" s="145"/>
      <c r="F38" s="145"/>
      <c r="G38" s="597" t="s">
        <v>186</v>
      </c>
      <c r="H38" s="598"/>
      <c r="I38" s="66"/>
      <c r="J38" s="66"/>
      <c r="K38" s="66"/>
      <c r="L38" s="66"/>
      <c r="M38" s="66"/>
      <c r="N38" s="124">
        <f>N35+N36+N37</f>
        <v>7965.8644615384619</v>
      </c>
      <c r="O38" s="95"/>
    </row>
    <row r="39" spans="2:17">
      <c r="D39" s="88"/>
      <c r="E39" s="88"/>
      <c r="F39" s="88"/>
      <c r="G39" s="589"/>
      <c r="H39" s="589"/>
      <c r="I39" s="90"/>
      <c r="J39" s="90"/>
      <c r="K39" s="125"/>
      <c r="L39" s="125"/>
      <c r="M39" s="125"/>
      <c r="N39" s="126"/>
      <c r="O39" s="127"/>
    </row>
    <row r="40" spans="2:17">
      <c r="D40" s="91"/>
      <c r="E40" s="91"/>
      <c r="F40" s="91"/>
      <c r="M40" t="s">
        <v>196</v>
      </c>
    </row>
    <row r="41" spans="2:17">
      <c r="B41" s="590" t="s">
        <v>187</v>
      </c>
      <c r="C41" s="590"/>
      <c r="D41" s="590"/>
      <c r="E41" s="590"/>
      <c r="F41" s="590"/>
      <c r="G41" s="590"/>
      <c r="H41" s="590"/>
      <c r="I41" s="590"/>
      <c r="J41" s="590"/>
      <c r="K41" s="590"/>
      <c r="L41" s="590"/>
      <c r="M41" s="590"/>
      <c r="N41" s="590"/>
    </row>
    <row r="42" spans="2:17">
      <c r="D42" s="91"/>
      <c r="E42" s="91"/>
      <c r="F42" s="91"/>
    </row>
    <row r="43" spans="2:17">
      <c r="D43" s="91" t="s">
        <v>188</v>
      </c>
      <c r="E43" s="91"/>
      <c r="F43" s="91"/>
      <c r="N43" s="95"/>
    </row>
    <row r="44" spans="2:17">
      <c r="D44" s="54" t="s">
        <v>10</v>
      </c>
      <c r="E44" s="54"/>
      <c r="F44" s="54"/>
      <c r="G44" s="54" t="s">
        <v>11</v>
      </c>
      <c r="H44" s="54" t="s">
        <v>12</v>
      </c>
      <c r="I44" s="55" t="s">
        <v>13</v>
      </c>
    </row>
    <row r="45" spans="2:17">
      <c r="D45" s="56">
        <v>2025</v>
      </c>
      <c r="E45" s="56"/>
      <c r="F45" s="56"/>
      <c r="G45" s="56" t="s">
        <v>189</v>
      </c>
      <c r="H45" s="56">
        <v>21</v>
      </c>
      <c r="I45" s="56" t="s">
        <v>15</v>
      </c>
    </row>
    <row r="46" spans="2:17">
      <c r="D46" s="57"/>
      <c r="E46" s="57"/>
      <c r="F46" s="57"/>
      <c r="G46" s="57"/>
    </row>
    <row r="47" spans="2:17" ht="33.75">
      <c r="D47" s="159" t="s">
        <v>16</v>
      </c>
      <c r="E47" s="159"/>
      <c r="F47" s="159"/>
      <c r="G47" s="159" t="s">
        <v>17</v>
      </c>
      <c r="H47" s="159" t="s">
        <v>18</v>
      </c>
      <c r="I47" s="159" t="s">
        <v>19</v>
      </c>
    </row>
    <row r="48" spans="2:17">
      <c r="D48" s="61">
        <v>0.33333333333333298</v>
      </c>
      <c r="E48" s="61"/>
      <c r="F48" s="61"/>
      <c r="G48" s="62">
        <v>10</v>
      </c>
      <c r="H48" s="63">
        <f>D14</f>
        <v>67.307692307692307</v>
      </c>
      <c r="I48" s="130">
        <f>(H48*30%)+H48</f>
        <v>87.5</v>
      </c>
    </row>
    <row r="50" spans="3:14">
      <c r="C50" s="131" t="s">
        <v>20</v>
      </c>
      <c r="D50" s="131" t="s">
        <v>12</v>
      </c>
      <c r="E50" s="131"/>
      <c r="F50" s="131"/>
      <c r="G50" s="131" t="s">
        <v>21</v>
      </c>
      <c r="H50" s="131" t="s">
        <v>22</v>
      </c>
      <c r="I50" s="131" t="s">
        <v>23</v>
      </c>
      <c r="J50" s="131" t="s">
        <v>24</v>
      </c>
      <c r="K50" s="131" t="s">
        <v>25</v>
      </c>
      <c r="L50" s="131"/>
      <c r="M50" s="131"/>
      <c r="N50" s="131" t="s">
        <v>26</v>
      </c>
    </row>
    <row r="51" spans="3:14">
      <c r="C51" s="70" t="s">
        <v>352</v>
      </c>
      <c r="D51" s="71">
        <v>21</v>
      </c>
      <c r="E51" s="71"/>
      <c r="F51" s="71"/>
      <c r="G51" s="72">
        <v>0.27083333333333331</v>
      </c>
      <c r="H51" s="72">
        <v>0.70833333333333337</v>
      </c>
      <c r="I51" s="73">
        <v>1</v>
      </c>
      <c r="J51" s="73">
        <f>IFERROR(IF(AND(G51&lt;&gt;"",H51&lt;&gt;""),IF(G51&gt;$B$14+TIME($C$14,($C$14-INT($C$14))*60,0),0,IF(H51&gt;$B$14+TIME($C$14,($C$14-INT($C$14))*60,0),MIN(TIME($C$14,($C$14-INT($C$14))*60,0),($B$14+TIME($C$14,($C$14-INT($C$14))*60,0)-G51)),MIN(IF((H51-$B$14)&lt;0,0,(H51-$B$14)),(H51-G51))))*24,"")-I51,"")</f>
        <v>9.5000000000000018</v>
      </c>
      <c r="K51" s="73">
        <f>IF(AND(G51&lt;&gt;"",H51&lt;&gt;""),((IF(G51&lt;$D$48,MIN($D$48-G51,H51-G51),0)+IF(H51&gt;$D$48+TIME($G$48,($G$48-INT($G$48))*60,0),MIN((H51-$D$48-TIME($G$48,($G$48-INT($G$48))*60,0)),(H51-G51)),0))*24),"")</f>
        <v>1.499999999999992</v>
      </c>
      <c r="L51" s="73"/>
      <c r="M51" s="73"/>
      <c r="N51" s="99">
        <f>(J51*H48)+639.42*30%</f>
        <v>831.24907692307704</v>
      </c>
    </row>
    <row r="52" spans="3:14">
      <c r="C52" s="70" t="s">
        <v>210</v>
      </c>
      <c r="D52" s="71">
        <v>25</v>
      </c>
      <c r="E52" s="71"/>
      <c r="F52" s="71"/>
      <c r="G52" s="72">
        <v>0.27083333333333331</v>
      </c>
      <c r="H52" s="72">
        <v>0.70833333333333337</v>
      </c>
      <c r="I52" s="73">
        <v>1</v>
      </c>
      <c r="J52" s="73">
        <f>IFERROR(IF(AND(G52&lt;&gt;"",H52&lt;&gt;""),IF(G52&gt;$B$14+TIME($C$14,($C$14-INT($C$14))*60,0),0,IF(H52&gt;$B$14+TIME($C$14,($C$14-INT($C$14))*60,0),MIN(TIME($C$14,($C$14-INT($C$14))*60,0),($B$14+TIME($C$14,($C$14-INT($C$14))*60,0)-G52)),MIN(IF((H52-$B$14)&lt;0,0,(H52-$B$14)),(H52-G52))))*24,"")-I52,"")</f>
        <v>9.5000000000000018</v>
      </c>
      <c r="K52" s="73">
        <f>IF(AND(G52&lt;&gt;"",H52&lt;&gt;""),((IF(G52&lt;$D$48,MIN($D$48-G52,H52-G52),0)+IF(H52&gt;$D$48+TIME($G$48,($G$48-INT($G$48))*60,0),MIN((H52-$D$48-TIME($G$48,($G$48-INT($G$48))*60,0)),(H52-G52)),0))*24),"")</f>
        <v>1.499999999999992</v>
      </c>
      <c r="L52" s="73"/>
      <c r="M52" s="73"/>
      <c r="N52" s="99">
        <f>(J52*H48)</f>
        <v>639.42307692307702</v>
      </c>
    </row>
    <row r="53" spans="3:14"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318">
        <f>SUM(N51:N52)</f>
        <v>1470.6721538461541</v>
      </c>
    </row>
    <row r="54" spans="3:14">
      <c r="N54" s="324"/>
    </row>
    <row r="55" spans="3:14">
      <c r="N55" s="324"/>
    </row>
    <row r="56" spans="3:14">
      <c r="N56" s="138"/>
    </row>
    <row r="57" spans="3:14">
      <c r="N57" s="138"/>
    </row>
    <row r="58" spans="3:14">
      <c r="M58" s="95"/>
      <c r="N58" s="138"/>
    </row>
    <row r="59" spans="3:14">
      <c r="C59" s="132" t="s">
        <v>190</v>
      </c>
      <c r="D59" s="132"/>
      <c r="N59" s="138"/>
    </row>
    <row r="60" spans="3:14">
      <c r="N60" s="138"/>
    </row>
    <row r="61" spans="3:14">
      <c r="C61" s="591">
        <v>44981</v>
      </c>
      <c r="D61" s="591"/>
      <c r="E61" s="591"/>
      <c r="F61" s="88"/>
      <c r="G61" s="148" t="s">
        <v>280</v>
      </c>
      <c r="H61" s="254"/>
      <c r="N61" s="138"/>
    </row>
    <row r="62" spans="3:14">
      <c r="D62" s="88"/>
      <c r="E62" s="88"/>
      <c r="F62" s="256">
        <f>F61*G62</f>
        <v>0</v>
      </c>
      <c r="G62" s="253">
        <v>0.3</v>
      </c>
      <c r="H62" s="254"/>
      <c r="N62" s="138"/>
    </row>
    <row r="63" spans="3:14">
      <c r="D63" s="91"/>
      <c r="E63" s="91"/>
      <c r="F63" s="91"/>
      <c r="N63" s="138"/>
    </row>
    <row r="64" spans="3:14">
      <c r="D64" s="91"/>
      <c r="E64" s="91"/>
      <c r="F64" s="91"/>
      <c r="G64" s="257">
        <f>F62</f>
        <v>0</v>
      </c>
      <c r="N64" s="138"/>
    </row>
    <row r="65" spans="3:9">
      <c r="D65" s="132"/>
      <c r="E65" s="132"/>
      <c r="F65" s="132"/>
      <c r="G65" s="133"/>
      <c r="H65" s="133"/>
      <c r="I65" s="133"/>
    </row>
    <row r="66" spans="3:9">
      <c r="D66" s="132"/>
      <c r="E66" s="132"/>
      <c r="F66" s="132"/>
      <c r="G66" s="133"/>
      <c r="H66" s="133"/>
      <c r="I66" s="133"/>
    </row>
    <row r="67" spans="3:9">
      <c r="F67" s="132"/>
      <c r="G67" s="133"/>
      <c r="H67" s="133"/>
      <c r="I67" s="133"/>
    </row>
    <row r="68" spans="3:9">
      <c r="G68" s="606"/>
      <c r="H68" s="606"/>
    </row>
    <row r="71" spans="3:9">
      <c r="C71" s="91" t="s">
        <v>141</v>
      </c>
    </row>
    <row r="72" spans="3:9">
      <c r="C72" t="s">
        <v>66</v>
      </c>
    </row>
    <row r="73" spans="3:9">
      <c r="C73" s="91"/>
    </row>
  </sheetData>
  <mergeCells count="13">
    <mergeCell ref="G68:H68"/>
    <mergeCell ref="G34:H34"/>
    <mergeCell ref="G36:H36"/>
    <mergeCell ref="G38:H38"/>
    <mergeCell ref="G39:H39"/>
    <mergeCell ref="B41:N41"/>
    <mergeCell ref="C61:E61"/>
    <mergeCell ref="G32:H32"/>
    <mergeCell ref="A6:N6"/>
    <mergeCell ref="C7:D7"/>
    <mergeCell ref="M7:O7"/>
    <mergeCell ref="C8:D8"/>
    <mergeCell ref="M8:O8"/>
  </mergeCells>
  <conditionalFormatting sqref="C17:D17">
    <cfRule type="expression" dxfId="110" priority="29">
      <formula>ISNUMBER(SEARCH(TEXT($B17,"ddd"),$F$10))</formula>
    </cfRule>
  </conditionalFormatting>
  <conditionalFormatting sqref="C18:D19">
    <cfRule type="expression" dxfId="109" priority="31">
      <formula>ISNUMBER(SEARCH(TEXT($C18,"ddd"),$G$11))</formula>
    </cfRule>
  </conditionalFormatting>
  <conditionalFormatting sqref="C20:E31">
    <cfRule type="expression" dxfId="108" priority="1">
      <formula>ISNUMBER(SEARCH(TEXT($C20,"ddd"),$G$11))</formula>
    </cfRule>
  </conditionalFormatting>
  <conditionalFormatting sqref="C51:N52">
    <cfRule type="expression" dxfId="107" priority="4">
      <formula>ISNUMBER(SEARCH(TEXT($C51,"ddd"),$G$11))</formula>
    </cfRule>
  </conditionalFormatting>
  <conditionalFormatting sqref="E17:E19">
    <cfRule type="expression" dxfId="106" priority="20">
      <formula>ISNUMBER(SEARCH(TEXT($C17,"ddd"),$G$11))</formula>
    </cfRule>
  </conditionalFormatting>
  <conditionalFormatting sqref="F17:F31">
    <cfRule type="expression" dxfId="105" priority="9">
      <formula>ISNUMBER(SEARCH(TEXT($C17,"ddd"),$G$11))</formula>
    </cfRule>
  </conditionalFormatting>
  <conditionalFormatting sqref="G27:K27">
    <cfRule type="expression" dxfId="104" priority="14">
      <formula>ISNUMBER(SEARCH(TEXT($C27,"ddd"),$G$11))</formula>
    </cfRule>
  </conditionalFormatting>
  <conditionalFormatting sqref="G31:K31">
    <cfRule type="expression" dxfId="103" priority="12">
      <formula>ISNUMBER(SEARCH(TEXT($C31,"ddd"),$G$11))</formula>
    </cfRule>
  </conditionalFormatting>
  <conditionalFormatting sqref="G17:L26">
    <cfRule type="expression" dxfId="102" priority="2">
      <formula>ISNUMBER(SEARCH(TEXT($C17,"ddd"),$G$11))</formula>
    </cfRule>
  </conditionalFormatting>
  <conditionalFormatting sqref="G28:L30">
    <cfRule type="expression" dxfId="101" priority="5">
      <formula>ISNUMBER(SEARCH(TEXT($C28,"ddd"),$G$11))</formula>
    </cfRule>
  </conditionalFormatting>
  <conditionalFormatting sqref="N17:N31">
    <cfRule type="expression" dxfId="100" priority="30">
      <formula>ISNUMBER(SEARCH(TEXT($B17,"ddd"),$F$10))</formula>
    </cfRule>
  </conditionalFormatting>
  <dataValidations count="5">
    <dataValidation type="list" allowBlank="1" showInputMessage="1" showErrorMessage="1" sqref="E11:F11" xr:uid="{00000000-0002-0000-2800-000000000000}">
      <formula1>LAGROSA!DateCalc</formula1>
    </dataValidation>
    <dataValidation type="custom" allowBlank="1" showInputMessage="1" showErrorMessage="1" sqref="G51:G52 E17:G31" xr:uid="{00000000-0002-0000-2800-000001000000}">
      <formula1>AND($G17&lt;=1,ISNUMBER($G17))</formula1>
    </dataValidation>
    <dataValidation type="custom" allowBlank="1" showInputMessage="1" showErrorMessage="1" sqref="H17:H31 H51:H52" xr:uid="{00000000-0002-0000-2800-000002000000}">
      <formula1>AND($H17&lt;=1,ISNUMBER($H17),($H17&gt;=$G17))</formula1>
    </dataValidation>
    <dataValidation type="list" allowBlank="1" showInputMessage="1" showErrorMessage="1" sqref="D11 H45" xr:uid="{00000000-0002-0000-2800-000003000000}">
      <formula1>DateCalc</formula1>
    </dataValidation>
    <dataValidation type="list" allowBlank="1" showInputMessage="1" showErrorMessage="1" sqref="G11" xr:uid="{00000000-0002-0000-2800-000004000000}"/>
  </dataValidations>
  <pageMargins left="1.07083333333333" right="0.25" top="0.359722222222222" bottom="0.39791666666666697" header="0.29861111111111099" footer="0.29861111111111099"/>
  <pageSetup paperSize="9" scale="91" orientation="landscape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05857" r:id="rId4" name="Check Box 1">
              <controlPr defaultSize="0" print="0" autoPict="0">
                <anchor moveWithCells="1">
                  <from>
                    <xdr:col>7</xdr:col>
                    <xdr:colOff>180975</xdr:colOff>
                    <xdr:row>9</xdr:row>
                    <xdr:rowOff>28575</xdr:rowOff>
                  </from>
                  <to>
                    <xdr:col>8</xdr:col>
                    <xdr:colOff>571500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2800-000005000000}">
          <x14:formula1>
            <xm:f>Data!$B$2:$B$13</xm:f>
          </x14:formula1>
          <xm:sqref>C11 G45</xm:sqref>
        </x14:dataValidation>
        <x14:dataValidation type="list" allowBlank="1" showInputMessage="1" showErrorMessage="1" xr:uid="{00000000-0002-0000-2800-000006000000}">
          <x14:formula1>
            <xm:f>Data!$A$2:$A$12</xm:f>
          </x14:formula1>
          <xm:sqref>B11 D45:F45</xm:sqref>
        </x14:dataValidation>
        <x14:dataValidation type="list" allowBlank="1" showInputMessage="1" showErrorMessage="1" xr:uid="{00000000-0002-0000-2800-000007000000}">
          <x14:formula1>
            <xm:f>Data!$D$2:$D$16</xm:f>
          </x14:formula1>
          <xm:sqref>I45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4:AG69"/>
  <sheetViews>
    <sheetView showGridLines="0" view="pageLayout" topLeftCell="A11" zoomScaleNormal="100" workbookViewId="0">
      <selection activeCell="M20" sqref="M20"/>
    </sheetView>
  </sheetViews>
  <sheetFormatPr defaultColWidth="9" defaultRowHeight="12.75"/>
  <cols>
    <col min="1" max="2" width="5.375" customWidth="1"/>
    <col min="3" max="5" width="7.125" customWidth="1"/>
    <col min="6" max="6" width="9.125" customWidth="1"/>
    <col min="7" max="7" width="7.625" customWidth="1"/>
    <col min="8" max="8" width="8.625" customWidth="1"/>
    <col min="9" max="9" width="8.125" customWidth="1"/>
    <col min="10" max="10" width="7.125" customWidth="1"/>
    <col min="11" max="11" width="10.625" customWidth="1"/>
    <col min="12" max="12" width="9.5" customWidth="1"/>
    <col min="13" max="13" width="11.625" customWidth="1"/>
    <col min="14" max="14" width="16.875" customWidth="1"/>
    <col min="15" max="15" width="9.625" customWidth="1"/>
  </cols>
  <sheetData>
    <row r="4" spans="1:16" ht="25.5" customHeight="1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</row>
    <row r="5" spans="1:16" s="47" customFormat="1" ht="25.5" customHeight="1">
      <c r="A5" s="603"/>
      <c r="B5" s="603"/>
      <c r="C5" s="603"/>
      <c r="D5" s="603"/>
      <c r="E5" s="603"/>
      <c r="F5" s="603"/>
      <c r="G5" s="603"/>
      <c r="H5" s="603"/>
      <c r="I5" s="603"/>
      <c r="J5" s="603"/>
      <c r="K5" s="603"/>
      <c r="L5" s="603"/>
      <c r="M5" s="603"/>
    </row>
    <row r="6" spans="1:16" ht="18.75" customHeight="1">
      <c r="B6" s="527" t="s">
        <v>3</v>
      </c>
      <c r="C6" s="527"/>
      <c r="D6" s="49"/>
      <c r="E6" s="49"/>
      <c r="F6" s="50" t="s">
        <v>215</v>
      </c>
      <c r="G6" s="51"/>
      <c r="K6" s="49" t="s">
        <v>174</v>
      </c>
      <c r="L6" s="590" t="str">
        <f>PAALAN!L7</f>
        <v>September  11-25, 2026</v>
      </c>
      <c r="M6" s="590"/>
    </row>
    <row r="7" spans="1:16" ht="18.75" customHeight="1">
      <c r="B7" s="527" t="s">
        <v>175</v>
      </c>
      <c r="C7" s="527"/>
      <c r="D7" s="49"/>
      <c r="E7" s="49"/>
      <c r="F7" s="50" t="s">
        <v>307</v>
      </c>
      <c r="G7" s="51"/>
      <c r="K7" s="49" t="s">
        <v>176</v>
      </c>
      <c r="L7" s="610" t="str">
        <f>PAALAN!L8</f>
        <v>9/31/2026</v>
      </c>
      <c r="M7" s="610"/>
    </row>
    <row r="8" spans="1:16">
      <c r="B8" s="52"/>
      <c r="C8" s="53"/>
      <c r="D8" s="53"/>
      <c r="E8" s="53"/>
      <c r="F8" s="53"/>
    </row>
    <row r="9" spans="1:16">
      <c r="A9" s="54" t="s">
        <v>10</v>
      </c>
      <c r="B9" s="54" t="s">
        <v>11</v>
      </c>
      <c r="C9" s="54" t="s">
        <v>12</v>
      </c>
      <c r="D9" s="54"/>
      <c r="E9" s="54"/>
      <c r="F9" s="55" t="s">
        <v>13</v>
      </c>
    </row>
    <row r="10" spans="1:16">
      <c r="A10" s="56">
        <v>2025</v>
      </c>
      <c r="B10" s="56" t="s">
        <v>177</v>
      </c>
      <c r="C10" s="56">
        <v>11</v>
      </c>
      <c r="D10" s="56"/>
      <c r="E10" s="56"/>
      <c r="F10" s="56" t="s">
        <v>178</v>
      </c>
    </row>
    <row r="11" spans="1:16">
      <c r="A11" s="57"/>
      <c r="B11" s="57"/>
      <c r="G11" s="57"/>
      <c r="J11" s="57"/>
      <c r="K11" s="57"/>
      <c r="L11" s="57"/>
    </row>
    <row r="12" spans="1:16" ht="32.1" customHeight="1">
      <c r="A12" s="58" t="s">
        <v>16</v>
      </c>
      <c r="B12" s="58" t="s">
        <v>17</v>
      </c>
      <c r="C12" s="58" t="s">
        <v>18</v>
      </c>
      <c r="D12" s="59"/>
      <c r="E12" s="59"/>
      <c r="F12" s="59" t="s">
        <v>19</v>
      </c>
      <c r="G12" s="60" t="s">
        <v>179</v>
      </c>
      <c r="K12" s="93"/>
      <c r="L12" s="93"/>
      <c r="M12" s="94"/>
    </row>
    <row r="13" spans="1:16">
      <c r="A13" s="61">
        <v>0.33333333333333331</v>
      </c>
      <c r="B13" s="62">
        <v>10</v>
      </c>
      <c r="C13" s="63">
        <f>(20040/26)/8</f>
        <v>96.34615384615384</v>
      </c>
      <c r="D13" s="142"/>
      <c r="E13" s="142"/>
      <c r="F13" s="64">
        <v>0</v>
      </c>
      <c r="G13" s="65">
        <v>104</v>
      </c>
      <c r="K13" s="57"/>
      <c r="L13" s="57"/>
      <c r="M13" s="95"/>
    </row>
    <row r="14" spans="1:16">
      <c r="M14" s="96"/>
    </row>
    <row r="15" spans="1:16" s="47" customFormat="1" ht="22.5">
      <c r="A15" s="152"/>
      <c r="B15" s="139" t="s">
        <v>20</v>
      </c>
      <c r="C15" s="139" t="s">
        <v>12</v>
      </c>
      <c r="D15" s="139"/>
      <c r="E15" s="139"/>
      <c r="F15" s="139" t="s">
        <v>21</v>
      </c>
      <c r="G15" s="139" t="s">
        <v>22</v>
      </c>
      <c r="H15" s="140" t="s">
        <v>23</v>
      </c>
      <c r="I15" s="140" t="s">
        <v>24</v>
      </c>
      <c r="J15" s="140" t="s">
        <v>25</v>
      </c>
      <c r="K15" s="67" t="s">
        <v>180</v>
      </c>
      <c r="L15" s="134" t="s">
        <v>181</v>
      </c>
      <c r="M15" s="139" t="s">
        <v>26</v>
      </c>
    </row>
    <row r="16" spans="1:16">
      <c r="A16" s="69">
        <v>1</v>
      </c>
      <c r="B16" s="70">
        <f>DATE($A$10,MATCH($B$10,Data!$B$2:$B$13,0),BATUL!$C$10)</f>
        <v>45911</v>
      </c>
      <c r="C16" s="71">
        <f>DATE($A$10,MATCH($B$10,Data!$B$2:$B$13,0),BATUL!$C$10)</f>
        <v>45911</v>
      </c>
      <c r="D16" s="72">
        <v>0.35416666666666669</v>
      </c>
      <c r="E16" s="72">
        <v>6.9444444444444441E-3</v>
      </c>
      <c r="F16" s="72">
        <f t="shared" ref="F16:F21" si="0">D16-E16</f>
        <v>0.34722222222222227</v>
      </c>
      <c r="G16" s="72">
        <v>0.75</v>
      </c>
      <c r="H16" s="73">
        <v>1</v>
      </c>
      <c r="I16" s="73">
        <f t="shared" ref="I16:I28" si="1">IFERROR(IF(AND(F16&lt;&gt;"",G16&lt;&gt;""),IF(F16&gt;$A$13+TIME($B$13,($B$13-INT($B$13))*60,0),0,IF(G16&gt;$A$13+TIME($B$13,($B$13-INT($B$13))*60,0),MIN(TIME($B$13,($B$13-INT($B$13))*60,0),($A$13+TIME($B$13,($B$13-INT($B$13))*60,0)-F16)),MIN(IF((G16-$A$13)&lt;0,0,(G16-$A$13)),(G16-F16))))*24,"")-H16,"")</f>
        <v>8.6666666666666661</v>
      </c>
      <c r="J16" s="73">
        <v>0</v>
      </c>
      <c r="K16" s="101">
        <f>F16-A13</f>
        <v>1.3888888888888951E-2</v>
      </c>
      <c r="L16" s="102">
        <f>(C13/60)*0</f>
        <v>0</v>
      </c>
      <c r="M16" s="111">
        <f>IFERROR(I16*IF(AND(ISNUMBER(SEARCH(TEXT(B16,"ddd"),$F$10)),Data!$F$2),$F$13,$C$13)+J16*$F$13,"")</f>
        <v>834.99999999999989</v>
      </c>
      <c r="N16" s="141">
        <f>L16+M16</f>
        <v>834.99999999999989</v>
      </c>
      <c r="O16" s="89"/>
      <c r="P16" s="89"/>
    </row>
    <row r="17" spans="1:33">
      <c r="A17" s="69">
        <v>2</v>
      </c>
      <c r="B17" s="70">
        <f t="shared" ref="B17:B30" si="2">B16+1</f>
        <v>45912</v>
      </c>
      <c r="C17" s="71">
        <f t="shared" ref="C17:C30" si="3">C16+1</f>
        <v>45912</v>
      </c>
      <c r="D17" s="72">
        <v>0.34027777777777773</v>
      </c>
      <c r="E17" s="72">
        <v>6.9444444444444441E-3</v>
      </c>
      <c r="F17" s="72">
        <f t="shared" si="0"/>
        <v>0.33333333333333331</v>
      </c>
      <c r="G17" s="72">
        <v>0.75</v>
      </c>
      <c r="H17" s="73">
        <v>1</v>
      </c>
      <c r="I17" s="73">
        <f t="shared" si="1"/>
        <v>9</v>
      </c>
      <c r="J17" s="73">
        <f t="shared" ref="J17:J22" si="4">IF(AND(F17&lt;&gt;"",G17&lt;&gt;""),((IF(F17&lt;$A$13,MIN($A$13-F17,G17-F17),0)+IF(G17&gt;$A$13+TIME($B$13,($B$13-INT($B$13))*60,0),MIN((G17-$A$13-TIME($B$13,($B$13-INT($B$13))*60,0)),(G17-F17)),0))*24),"")</f>
        <v>0</v>
      </c>
      <c r="K17" s="101">
        <f>F17-A13</f>
        <v>0</v>
      </c>
      <c r="L17" s="102">
        <f>(C13/60)*0</f>
        <v>0</v>
      </c>
      <c r="M17" s="99">
        <f>IFERROR(I17*IF(AND(ISNUMBER(SEARCH(TEXT(B17,"ddd"),$F$10)),Data!$F$2),$F$13,$C$13)+J17*$F$13,"")</f>
        <v>867.11538461538453</v>
      </c>
      <c r="N17" s="141">
        <f>L17+M17</f>
        <v>867.11538461538453</v>
      </c>
      <c r="O17" s="89"/>
      <c r="P17" s="89"/>
    </row>
    <row r="18" spans="1:33">
      <c r="A18" s="69">
        <v>3</v>
      </c>
      <c r="B18" s="70">
        <f t="shared" si="2"/>
        <v>45913</v>
      </c>
      <c r="C18" s="71">
        <f t="shared" si="3"/>
        <v>45913</v>
      </c>
      <c r="D18" s="72">
        <v>0.38194444444444442</v>
      </c>
      <c r="E18" s="72">
        <v>6.9444444444444441E-3</v>
      </c>
      <c r="F18" s="72">
        <f t="shared" si="0"/>
        <v>0.375</v>
      </c>
      <c r="G18" s="72">
        <v>0.5</v>
      </c>
      <c r="H18" s="73">
        <v>0</v>
      </c>
      <c r="I18" s="73">
        <f t="shared" ref="I18" si="5">IFERROR(IF(AND(F18&lt;&gt;"",G18&lt;&gt;""),IF(F18&gt;$A$13+TIME($B$13,($B$13-INT($B$13))*60,0),0,IF(G18&gt;$A$13+TIME($B$13,($B$13-INT($B$13))*60,0),MIN(TIME($B$13,($B$13-INT($B$13))*60,0),($A$13+TIME($B$13,($B$13-INT($B$13))*60,0)-F18)),MIN(IF((G18-$A$13)&lt;0,0,(G18-$A$13)),(G18-F18))))*24,"")-H18,"")</f>
        <v>3</v>
      </c>
      <c r="J18" s="73">
        <f t="shared" ref="J18" si="6">IF(AND(F18&lt;&gt;"",G18&lt;&gt;""),((IF(F18&lt;$A$13,MIN($A$13-F18,G18-F18),0)+IF(G18&gt;$A$13+TIME($B$13,($B$13-INT($B$13))*60,0),MIN((G18-$A$13-TIME($B$13,($B$13-INT($B$13))*60,0)),(G18-F18)),0))*24),"")</f>
        <v>0</v>
      </c>
      <c r="K18" s="101">
        <v>0</v>
      </c>
      <c r="L18" s="102">
        <f>(C13/60)*0</f>
        <v>0</v>
      </c>
      <c r="M18" s="99">
        <f>IFERROR(I18*IF(AND(ISNUMBER(SEARCH(TEXT(B18,"ddd"),$F$10)),Data!$F$2),$F$13,$C$13)+J18*$F$13,"")</f>
        <v>289.03846153846155</v>
      </c>
      <c r="N18" s="141">
        <f>L18+M18</f>
        <v>289.03846153846155</v>
      </c>
      <c r="O18" s="153"/>
      <c r="P18" s="104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</row>
    <row r="19" spans="1:33">
      <c r="A19" s="69"/>
      <c r="B19" s="70">
        <f t="shared" si="2"/>
        <v>45914</v>
      </c>
      <c r="C19" s="71">
        <f t="shared" si="3"/>
        <v>45914</v>
      </c>
      <c r="D19" s="328">
        <v>0</v>
      </c>
      <c r="E19" s="328">
        <v>0</v>
      </c>
      <c r="F19" s="328">
        <f t="shared" si="0"/>
        <v>0</v>
      </c>
      <c r="G19" s="328">
        <v>0</v>
      </c>
      <c r="H19" s="329">
        <v>0</v>
      </c>
      <c r="I19" s="329">
        <f t="shared" si="1"/>
        <v>0</v>
      </c>
      <c r="J19" s="329">
        <f t="shared" si="4"/>
        <v>0</v>
      </c>
      <c r="K19" s="97">
        <v>0</v>
      </c>
      <c r="L19" s="98">
        <f>(C13/60)*0</f>
        <v>0</v>
      </c>
      <c r="M19" s="99">
        <f>IFERROR(I19*IF(AND(ISNUMBER(SEARCH(TEXT(B19,"ddd"),$F$10)),Data!$F$2),$F$13,$C$13)+J19*$F$13,"")</f>
        <v>0</v>
      </c>
      <c r="N19" s="141">
        <f>L19+M19</f>
        <v>0</v>
      </c>
      <c r="O19" s="103"/>
      <c r="P19" s="103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28"/>
    </row>
    <row r="20" spans="1:33">
      <c r="A20" s="69">
        <v>4</v>
      </c>
      <c r="B20" s="70">
        <f t="shared" si="2"/>
        <v>45915</v>
      </c>
      <c r="C20" s="71">
        <f t="shared" si="3"/>
        <v>45915</v>
      </c>
      <c r="D20" s="72">
        <v>0.34027777777777773</v>
      </c>
      <c r="E20" s="72">
        <v>6.9444444444444441E-3</v>
      </c>
      <c r="F20" s="72">
        <f t="shared" ref="F20" si="7">D20-E20</f>
        <v>0.33333333333333331</v>
      </c>
      <c r="G20" s="72">
        <v>0.75</v>
      </c>
      <c r="H20" s="73">
        <v>1</v>
      </c>
      <c r="I20" s="73">
        <f t="shared" ref="I20" si="8">IFERROR(IF(AND(F20&lt;&gt;"",G20&lt;&gt;""),IF(F20&gt;$A$13+TIME($B$13,($B$13-INT($B$13))*60,0),0,IF(G20&gt;$A$13+TIME($B$13,($B$13-INT($B$13))*60,0),MIN(TIME($B$13,($B$13-INT($B$13))*60,0),($A$13+TIME($B$13,($B$13-INT($B$13))*60,0)-F20)),MIN(IF((G20-$A$13)&lt;0,0,(G20-$A$13)),(G20-F20))))*24,"")-H20,"")</f>
        <v>9</v>
      </c>
      <c r="J20" s="73">
        <f t="shared" ref="J20" si="9">IF(AND(F20&lt;&gt;"",G20&lt;&gt;""),((IF(F20&lt;$A$13,MIN($A$13-F20,G20-F20),0)+IF(G20&gt;$A$13+TIME($B$13,($B$13-INT($B$13))*60,0),MIN((G20-$A$13-TIME($B$13,($B$13-INT($B$13))*60,0)),(G20-F20)),0))*24),"")</f>
        <v>0</v>
      </c>
      <c r="K20" s="101">
        <f>F20-A13</f>
        <v>0</v>
      </c>
      <c r="L20" s="102">
        <f>(C13/60)*0</f>
        <v>0</v>
      </c>
      <c r="M20" s="99">
        <f>IFERROR(I20*IF(AND(ISNUMBER(SEARCH(TEXT(B20,"ddd"),$F$10)),Data!$F$2),$F$13,$C$13)+J20*$F$13,"")</f>
        <v>867.11538461538453</v>
      </c>
      <c r="N20" s="141">
        <v>576.91999999999996</v>
      </c>
      <c r="O20" s="100"/>
      <c r="P20" s="100"/>
      <c r="Q20" s="153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4"/>
    </row>
    <row r="21" spans="1:33">
      <c r="A21" s="69">
        <v>5</v>
      </c>
      <c r="B21" s="70">
        <f t="shared" si="2"/>
        <v>45916</v>
      </c>
      <c r="C21" s="71">
        <f t="shared" si="3"/>
        <v>45916</v>
      </c>
      <c r="D21" s="72">
        <v>0.34027777777777773</v>
      </c>
      <c r="E21" s="72">
        <v>6.9444444444444441E-3</v>
      </c>
      <c r="F21" s="72">
        <f t="shared" si="0"/>
        <v>0.33333333333333331</v>
      </c>
      <c r="G21" s="72">
        <v>0.75</v>
      </c>
      <c r="H21" s="73">
        <v>1</v>
      </c>
      <c r="I21" s="73">
        <f t="shared" si="1"/>
        <v>9</v>
      </c>
      <c r="J21" s="73">
        <f t="shared" si="4"/>
        <v>0</v>
      </c>
      <c r="K21" s="101">
        <v>0</v>
      </c>
      <c r="L21" s="102">
        <f>(C13/60)*0</f>
        <v>0</v>
      </c>
      <c r="M21" s="99">
        <f>IFERROR(I21*IF(AND(ISNUMBER(SEARCH(TEXT(B21,"ddd"),$F$10)),Data!$F$2),$F$13,$C$13)+J21*$F$13,"")</f>
        <v>867.11538461538453</v>
      </c>
      <c r="N21" s="141">
        <f t="shared" ref="N21:N30" si="10">L21+M21</f>
        <v>867.11538461538453</v>
      </c>
      <c r="O21" s="100"/>
      <c r="P21" s="100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4"/>
    </row>
    <row r="22" spans="1:33">
      <c r="A22" s="69">
        <v>6</v>
      </c>
      <c r="B22" s="70">
        <f t="shared" si="2"/>
        <v>45917</v>
      </c>
      <c r="C22" s="71">
        <f t="shared" si="3"/>
        <v>45917</v>
      </c>
      <c r="D22" s="72">
        <v>0.34027777777777773</v>
      </c>
      <c r="E22" s="72">
        <v>0</v>
      </c>
      <c r="F22" s="72">
        <f>D22-E22</f>
        <v>0.34027777777777773</v>
      </c>
      <c r="G22" s="72">
        <v>0.75</v>
      </c>
      <c r="H22" s="73">
        <v>1</v>
      </c>
      <c r="I22" s="73">
        <f t="shared" ref="I22:I23" si="11">IFERROR(IF(AND(F22&lt;&gt;"",G22&lt;&gt;""),IF(F22&gt;$A$13+TIME($B$13,($B$13-INT($B$13))*60,0),0,IF(G22&gt;$A$13+TIME($B$13,($B$13-INT($B$13))*60,0),MIN(TIME($B$13,($B$13-INT($B$13))*60,0),($A$13+TIME($B$13,($B$13-INT($B$13))*60,0)-F22)),MIN(IF((G22-$A$13)&lt;0,0,(G22-$A$13)),(G22-F22))))*24,"")-H22,"")</f>
        <v>8.8333333333333339</v>
      </c>
      <c r="J22" s="73">
        <f t="shared" si="4"/>
        <v>0</v>
      </c>
      <c r="K22" s="101">
        <v>0</v>
      </c>
      <c r="L22" s="102">
        <f>(C13/60)*0</f>
        <v>0</v>
      </c>
      <c r="M22" s="111">
        <f>IFERROR(I22*IF(AND(ISNUMBER(SEARCH(TEXT(B22,"ddd"),$F$10)),Data!$F$2),$F$13,$C$13)+J22*$F$13,"")</f>
        <v>851.05769230769226</v>
      </c>
      <c r="N22" s="141">
        <f t="shared" si="10"/>
        <v>851.05769230769226</v>
      </c>
      <c r="O22" s="100"/>
      <c r="P22" s="100"/>
    </row>
    <row r="23" spans="1:33">
      <c r="A23" s="69">
        <v>7</v>
      </c>
      <c r="B23" s="70">
        <f t="shared" si="2"/>
        <v>45918</v>
      </c>
      <c r="C23" s="71">
        <f t="shared" si="3"/>
        <v>45918</v>
      </c>
      <c r="D23" s="72">
        <v>0.46111111111111108</v>
      </c>
      <c r="E23" s="72">
        <v>6.9444444444444441E-3</v>
      </c>
      <c r="F23" s="72">
        <f>D23-E23</f>
        <v>0.45416666666666666</v>
      </c>
      <c r="G23" s="72">
        <v>0.75</v>
      </c>
      <c r="H23" s="73">
        <v>1</v>
      </c>
      <c r="I23" s="73">
        <f t="shared" si="11"/>
        <v>6.1</v>
      </c>
      <c r="J23" s="73">
        <f t="shared" ref="J23" si="12">IF(AND(F23&lt;&gt;"",G23&lt;&gt;""),((IF(F23&lt;$A$13,MIN($A$13-F23,G23-F23),0)+IF(G23&gt;$A$13+TIME($B$13,($B$13-INT($B$13))*60,0),MIN((G23-$A$13-TIME($B$13,($B$13-INT($B$13))*60,0)),(G23-F23)),0))*24),"")</f>
        <v>0</v>
      </c>
      <c r="K23" s="101">
        <f>F23-A13</f>
        <v>0.12083333333333335</v>
      </c>
      <c r="L23" s="102">
        <f>(C13/60)*0</f>
        <v>0</v>
      </c>
      <c r="M23" s="111">
        <f>IFERROR(I23*IF(AND(ISNUMBER(SEARCH(TEXT(B23,"ddd"),$F$10)),Data!$F$2),$F$13,$C$13)+J23*$F$13,"")</f>
        <v>587.71153846153834</v>
      </c>
      <c r="N23" s="141">
        <f t="shared" si="10"/>
        <v>587.71153846153834</v>
      </c>
      <c r="O23" s="100"/>
      <c r="P23" s="100"/>
    </row>
    <row r="24" spans="1:33">
      <c r="A24" s="69">
        <v>8</v>
      </c>
      <c r="B24" s="70">
        <f t="shared" si="2"/>
        <v>45919</v>
      </c>
      <c r="C24" s="71">
        <f t="shared" si="3"/>
        <v>45919</v>
      </c>
      <c r="D24" s="72">
        <v>0.34791666666666665</v>
      </c>
      <c r="E24" s="72">
        <v>6.9444444444444441E-3</v>
      </c>
      <c r="F24" s="72">
        <f t="shared" ref="F24:F26" si="13">D24-E24</f>
        <v>0.34097222222222223</v>
      </c>
      <c r="G24" s="72">
        <v>0.75</v>
      </c>
      <c r="H24" s="73">
        <v>1</v>
      </c>
      <c r="I24" s="73">
        <f t="shared" ref="I24:I26" si="14">IFERROR(IF(AND(F24&lt;&gt;"",G24&lt;&gt;""),IF(F24&gt;$A$13+TIME($B$13,($B$13-INT($B$13))*60,0),0,IF(G24&gt;$A$13+TIME($B$13,($B$13-INT($B$13))*60,0),MIN(TIME($B$13,($B$13-INT($B$13))*60,0),($A$13+TIME($B$13,($B$13-INT($B$13))*60,0)-F24)),MIN(IF((G24-$A$13)&lt;0,0,(G24-$A$13)),(G24-F24))))*24,"")-H24,"")</f>
        <v>8.8166666666666664</v>
      </c>
      <c r="J24" s="73">
        <f t="shared" ref="J24:J26" si="15">IF(AND(F24&lt;&gt;"",G24&lt;&gt;""),((IF(F24&lt;$A$13,MIN($A$13-F24,G24-F24),0)+IF(G24&gt;$A$13+TIME($B$13,($B$13-INT($B$13))*60,0),MIN((G24-$A$13-TIME($B$13,($B$13-INT($B$13))*60,0)),(G24-F24)),0))*24),"")</f>
        <v>0</v>
      </c>
      <c r="K24" s="101">
        <f>F24-A13</f>
        <v>7.6388888888889173E-3</v>
      </c>
      <c r="L24" s="102">
        <f>(C13/60)*0</f>
        <v>0</v>
      </c>
      <c r="M24" s="99">
        <f>IFERROR(I24*IF(AND(ISNUMBER(SEARCH(TEXT(B24,"ddd"),$F$10)),Data!$F$2),$F$13,$C$13)+J24*$F$13,"")</f>
        <v>849.45192307692298</v>
      </c>
      <c r="N24" s="141">
        <f t="shared" si="10"/>
        <v>849.45192307692298</v>
      </c>
      <c r="O24" s="100"/>
      <c r="P24" s="100"/>
    </row>
    <row r="25" spans="1:33">
      <c r="A25" s="69">
        <v>9</v>
      </c>
      <c r="B25" s="70">
        <f t="shared" si="2"/>
        <v>45920</v>
      </c>
      <c r="C25" s="71">
        <f t="shared" si="3"/>
        <v>45920</v>
      </c>
      <c r="D25" s="72">
        <v>0.38194444444444442</v>
      </c>
      <c r="E25" s="72">
        <v>6.9444444444444441E-3</v>
      </c>
      <c r="F25" s="72">
        <f t="shared" si="13"/>
        <v>0.375</v>
      </c>
      <c r="G25" s="72">
        <v>0.5</v>
      </c>
      <c r="H25" s="73">
        <v>0</v>
      </c>
      <c r="I25" s="73">
        <f t="shared" si="14"/>
        <v>3</v>
      </c>
      <c r="J25" s="73">
        <f t="shared" si="15"/>
        <v>0</v>
      </c>
      <c r="K25" s="101">
        <f>F25-A13</f>
        <v>4.1666666666666685E-2</v>
      </c>
      <c r="L25" s="102">
        <f>(C13/60)*0</f>
        <v>0</v>
      </c>
      <c r="M25" s="111">
        <f>IFERROR(I25*IF(AND(ISNUMBER(SEARCH(TEXT(B25,"ddd"),$F$10)),Data!$F$2),$F$13,$C$13)+J25*$F$13,"")</f>
        <v>289.03846153846155</v>
      </c>
      <c r="N25" s="141">
        <f t="shared" si="10"/>
        <v>289.03846153846155</v>
      </c>
      <c r="O25" s="100"/>
      <c r="P25" s="100"/>
    </row>
    <row r="26" spans="1:33">
      <c r="A26" s="69"/>
      <c r="B26" s="70">
        <f t="shared" si="2"/>
        <v>45921</v>
      </c>
      <c r="C26" s="71">
        <f t="shared" si="3"/>
        <v>45921</v>
      </c>
      <c r="D26" s="328">
        <v>0</v>
      </c>
      <c r="E26" s="328">
        <v>0</v>
      </c>
      <c r="F26" s="328">
        <f t="shared" si="13"/>
        <v>0</v>
      </c>
      <c r="G26" s="328">
        <v>0</v>
      </c>
      <c r="H26" s="329">
        <v>0</v>
      </c>
      <c r="I26" s="329">
        <f t="shared" si="14"/>
        <v>0</v>
      </c>
      <c r="J26" s="329">
        <f t="shared" si="15"/>
        <v>0</v>
      </c>
      <c r="K26" s="97">
        <v>0</v>
      </c>
      <c r="L26" s="98">
        <f>(C13/60)*0</f>
        <v>0</v>
      </c>
      <c r="M26" s="99">
        <f>IFERROR(I26*IF(AND(ISNUMBER(SEARCH(TEXT(B26,"ddd"),$F$10)),Data!$F$2),$F$13,$C$13)+J26*$F$13,"")</f>
        <v>0</v>
      </c>
      <c r="N26" s="141">
        <f t="shared" si="10"/>
        <v>0</v>
      </c>
      <c r="P26" s="95"/>
    </row>
    <row r="27" spans="1:33">
      <c r="A27" s="69">
        <v>10</v>
      </c>
      <c r="B27" s="70">
        <f t="shared" si="2"/>
        <v>45922</v>
      </c>
      <c r="C27" s="71">
        <f t="shared" si="3"/>
        <v>45922</v>
      </c>
      <c r="D27" s="72">
        <v>0.34027777777777773</v>
      </c>
      <c r="E27" s="72">
        <v>6.9444444444444441E-3</v>
      </c>
      <c r="F27" s="72">
        <f t="shared" ref="F27:F30" si="16">D27-E27</f>
        <v>0.33333333333333331</v>
      </c>
      <c r="G27" s="72">
        <v>0.75</v>
      </c>
      <c r="H27" s="73">
        <v>1</v>
      </c>
      <c r="I27" s="73">
        <f t="shared" ref="I27" si="17">IFERROR(IF(AND(F27&lt;&gt;"",G27&lt;&gt;""),IF(F27&gt;$A$13+TIME($B$13,($B$13-INT($B$13))*60,0),0,IF(G27&gt;$A$13+TIME($B$13,($B$13-INT($B$13))*60,0),MIN(TIME($B$13,($B$13-INT($B$13))*60,0),($A$13+TIME($B$13,($B$13-INT($B$13))*60,0)-F27)),MIN(IF((G27-$A$13)&lt;0,0,(G27-$A$13)),(G27-F27))))*24,"")-H27,"")</f>
        <v>9</v>
      </c>
      <c r="J27" s="73">
        <v>0</v>
      </c>
      <c r="K27" s="101">
        <f>F27-A13</f>
        <v>0</v>
      </c>
      <c r="L27" s="102">
        <f>(C13/60)*0</f>
        <v>0</v>
      </c>
      <c r="M27" s="99">
        <f>IFERROR(I27*IF(AND(ISNUMBER(SEARCH(TEXT(B27,"ddd"),$F$10)),Data!$F$2),$F$13,$C$13)+J27*$F$13,"")</f>
        <v>867.11538461538453</v>
      </c>
      <c r="N27" s="141">
        <f t="shared" si="10"/>
        <v>867.11538461538453</v>
      </c>
    </row>
    <row r="28" spans="1:33">
      <c r="A28" s="69">
        <v>11</v>
      </c>
      <c r="B28" s="70">
        <f t="shared" si="2"/>
        <v>45923</v>
      </c>
      <c r="C28" s="71">
        <f t="shared" si="3"/>
        <v>45923</v>
      </c>
      <c r="D28" s="72">
        <v>0.34027777777777773</v>
      </c>
      <c r="E28" s="72">
        <v>6.9444444444444441E-3</v>
      </c>
      <c r="F28" s="72">
        <f t="shared" si="16"/>
        <v>0.33333333333333331</v>
      </c>
      <c r="G28" s="72">
        <v>0.75</v>
      </c>
      <c r="H28" s="73">
        <v>1</v>
      </c>
      <c r="I28" s="73">
        <f t="shared" si="1"/>
        <v>9</v>
      </c>
      <c r="J28" s="73">
        <v>0</v>
      </c>
      <c r="K28" s="101">
        <v>0</v>
      </c>
      <c r="L28" s="102">
        <f>(C13/60)*0</f>
        <v>0</v>
      </c>
      <c r="M28" s="99">
        <f>IFERROR(I28*IF(AND(ISNUMBER(SEARCH(TEXT(B28,"ddd"),$F$10)),Data!$F$2),$F$13,$C$13)+J28*$F$13,"")</f>
        <v>867.11538461538453</v>
      </c>
      <c r="N28" s="141">
        <f t="shared" si="10"/>
        <v>867.11538461538453</v>
      </c>
    </row>
    <row r="29" spans="1:33">
      <c r="A29" s="69">
        <v>12</v>
      </c>
      <c r="B29" s="70">
        <f t="shared" si="2"/>
        <v>45924</v>
      </c>
      <c r="C29" s="71">
        <f t="shared" si="3"/>
        <v>45924</v>
      </c>
      <c r="D29" s="72">
        <v>0.34027777777777773</v>
      </c>
      <c r="E29" s="72">
        <v>6.9444444444444441E-3</v>
      </c>
      <c r="F29" s="72">
        <f t="shared" si="16"/>
        <v>0.33333333333333331</v>
      </c>
      <c r="G29" s="72">
        <v>0.75</v>
      </c>
      <c r="H29" s="73">
        <v>1</v>
      </c>
      <c r="I29" s="73">
        <f t="shared" ref="I29:I30" si="18">IFERROR(IF(AND(F29&lt;&gt;"",G29&lt;&gt;""),IF(F29&gt;$A$13+TIME($B$13,($B$13-INT($B$13))*60,0),0,IF(G29&gt;$A$13+TIME($B$13,($B$13-INT($B$13))*60,0),MIN(TIME($B$13,($B$13-INT($B$13))*60,0),($A$13+TIME($B$13,($B$13-INT($B$13))*60,0)-F29)),MIN(IF((G29-$A$13)&lt;0,0,(G29-$A$13)),(G29-F29))))*24,"")-H29,"")</f>
        <v>9</v>
      </c>
      <c r="J29" s="73">
        <f t="shared" ref="J29" si="19">IF(AND(F29&lt;&gt;"",G29&lt;&gt;""),((IF(F29&lt;$A$13,MIN($A$13-F29,G29-F29),0)+IF(G29&gt;$A$13+TIME($B$13,($B$13-INT($B$13))*60,0),MIN((G29-$A$13-TIME($B$13,($B$13-INT($B$13))*60,0)),(G29-F29)),0))*24),"")</f>
        <v>0</v>
      </c>
      <c r="K29" s="101">
        <v>0</v>
      </c>
      <c r="L29" s="102">
        <f>(C13/60)*0</f>
        <v>0</v>
      </c>
      <c r="M29" s="111">
        <f>IFERROR(I29*IF(AND(ISNUMBER(SEARCH(TEXT(B29,"ddd"),$F$10)),Data!$F$2),$F$13,$C$13)+J29*$F$13,"")</f>
        <v>867.11538461538453</v>
      </c>
      <c r="N29" s="141">
        <f t="shared" si="10"/>
        <v>867.11538461538453</v>
      </c>
    </row>
    <row r="30" spans="1:33">
      <c r="A30" s="69">
        <v>13</v>
      </c>
      <c r="B30" s="70">
        <f t="shared" si="2"/>
        <v>45925</v>
      </c>
      <c r="C30" s="71">
        <f t="shared" si="3"/>
        <v>45925</v>
      </c>
      <c r="D30" s="72">
        <v>0.34027777777777773</v>
      </c>
      <c r="E30" s="72">
        <v>6.9444444444444441E-3</v>
      </c>
      <c r="F30" s="72">
        <f t="shared" si="16"/>
        <v>0.33333333333333331</v>
      </c>
      <c r="G30" s="72">
        <v>0.75</v>
      </c>
      <c r="H30" s="73">
        <v>1</v>
      </c>
      <c r="I30" s="73">
        <f t="shared" si="18"/>
        <v>9</v>
      </c>
      <c r="J30" s="73">
        <v>0</v>
      </c>
      <c r="K30" s="101">
        <v>0</v>
      </c>
      <c r="L30" s="102">
        <f>(C13/60)*0</f>
        <v>0</v>
      </c>
      <c r="M30" s="99">
        <f>IFERROR(I30*IF(AND(ISNUMBER(SEARCH(TEXT(B30,"ddd"),$F$10)),Data!$F$2),$F$13,$C$13)+J30*$F$13,"")</f>
        <v>867.11538461538453</v>
      </c>
      <c r="N30" s="141">
        <f t="shared" si="10"/>
        <v>867.11538461538453</v>
      </c>
    </row>
    <row r="31" spans="1:33">
      <c r="A31" s="66"/>
      <c r="B31" s="76"/>
      <c r="C31" s="77"/>
      <c r="D31" s="144"/>
      <c r="E31" s="144"/>
      <c r="F31" s="597" t="s">
        <v>182</v>
      </c>
      <c r="G31" s="598"/>
      <c r="H31" s="80">
        <f>SUM(H16:H30)</f>
        <v>11</v>
      </c>
      <c r="I31" s="80">
        <f>SUM(I16:I30)</f>
        <v>101.41666666666667</v>
      </c>
      <c r="J31" s="80">
        <f>SUM(J16:J30)</f>
        <v>0</v>
      </c>
      <c r="K31" s="80">
        <f>SUM(K16:K30)</f>
        <v>0.1840277777777779</v>
      </c>
      <c r="L31" s="80">
        <f>SUM(L16:L30)</f>
        <v>0</v>
      </c>
      <c r="M31" s="76"/>
      <c r="N31" s="95">
        <f>SUM(M16:M30)</f>
        <v>9771.1057692307695</v>
      </c>
    </row>
    <row r="32" spans="1:33">
      <c r="A32" s="66"/>
      <c r="B32" s="76"/>
      <c r="C32" s="77"/>
      <c r="D32" s="144"/>
      <c r="E32" s="144"/>
      <c r="F32" s="81" t="s">
        <v>39</v>
      </c>
      <c r="G32" s="82"/>
      <c r="H32" s="83"/>
      <c r="I32" s="84"/>
      <c r="J32" s="116"/>
      <c r="K32" s="117">
        <f>(C13/60)*0</f>
        <v>0</v>
      </c>
      <c r="L32" s="118"/>
      <c r="M32" s="154">
        <f>(C13*G13)-M52</f>
        <v>10020</v>
      </c>
      <c r="N32" s="95" t="e">
        <f>#REF!-N31</f>
        <v>#REF!</v>
      </c>
      <c r="O32" s="95"/>
      <c r="P32" s="95"/>
    </row>
    <row r="33" spans="1:15">
      <c r="A33" s="65"/>
      <c r="B33" s="65"/>
      <c r="C33" s="85"/>
      <c r="D33" s="85"/>
      <c r="E33" s="85"/>
      <c r="F33" s="592" t="s">
        <v>183</v>
      </c>
      <c r="G33" s="592"/>
      <c r="H33" s="80"/>
      <c r="I33" s="80">
        <f>G13-I31</f>
        <v>2.5833333333333286</v>
      </c>
      <c r="J33" s="65"/>
      <c r="K33" s="120"/>
      <c r="L33" s="120"/>
      <c r="M33" s="121">
        <f>K32</f>
        <v>0</v>
      </c>
      <c r="N33" s="95"/>
      <c r="O33" s="95"/>
    </row>
    <row r="34" spans="1:15">
      <c r="A34" s="65"/>
      <c r="B34" s="65"/>
      <c r="C34" s="85"/>
      <c r="D34" s="145"/>
      <c r="E34" s="145"/>
      <c r="F34" s="78" t="s">
        <v>41</v>
      </c>
      <c r="G34" s="79"/>
      <c r="H34" s="66"/>
      <c r="I34" s="66"/>
      <c r="J34" s="80"/>
      <c r="K34" s="80"/>
      <c r="L34" s="80"/>
      <c r="M34" s="121">
        <f>M32-M33</f>
        <v>10020</v>
      </c>
      <c r="N34" s="95"/>
    </row>
    <row r="35" spans="1:15">
      <c r="A35" s="65"/>
      <c r="B35" s="65"/>
      <c r="C35" s="85"/>
      <c r="D35" s="146"/>
      <c r="E35" s="146"/>
      <c r="F35" s="595" t="s">
        <v>202</v>
      </c>
      <c r="G35" s="596"/>
      <c r="H35" s="80"/>
      <c r="I35" s="66"/>
      <c r="J35" s="122"/>
      <c r="K35" s="122"/>
      <c r="L35" s="122"/>
      <c r="M35" s="123">
        <f>F13*J31</f>
        <v>0</v>
      </c>
    </row>
    <row r="36" spans="1:15">
      <c r="A36" s="65"/>
      <c r="B36" s="65"/>
      <c r="C36" s="85"/>
      <c r="D36" s="146"/>
      <c r="E36" s="146"/>
      <c r="F36" s="86" t="s">
        <v>203</v>
      </c>
      <c r="G36" s="87"/>
      <c r="H36" s="80"/>
      <c r="I36" s="66"/>
      <c r="J36" s="122"/>
      <c r="K36" s="122"/>
      <c r="L36" s="122"/>
      <c r="M36" s="123">
        <f>M52</f>
        <v>0</v>
      </c>
    </row>
    <row r="37" spans="1:15">
      <c r="A37" s="65"/>
      <c r="B37" s="65"/>
      <c r="C37" s="85"/>
      <c r="D37" s="145"/>
      <c r="E37" s="145"/>
      <c r="F37" s="597" t="s">
        <v>186</v>
      </c>
      <c r="G37" s="598"/>
      <c r="H37" s="66"/>
      <c r="I37" s="66"/>
      <c r="J37" s="66"/>
      <c r="K37" s="66"/>
      <c r="L37" s="66"/>
      <c r="M37" s="124">
        <f>M34+M35+M36</f>
        <v>10020</v>
      </c>
      <c r="N37" s="95"/>
    </row>
    <row r="38" spans="1:15">
      <c r="C38" s="88"/>
      <c r="D38" s="88"/>
      <c r="E38" s="88"/>
      <c r="F38" s="589"/>
      <c r="G38" s="589"/>
      <c r="H38" s="90"/>
      <c r="I38" s="90"/>
      <c r="J38" s="125"/>
      <c r="K38" s="125"/>
      <c r="L38" s="125"/>
      <c r="M38" s="126"/>
      <c r="N38" s="127"/>
    </row>
    <row r="39" spans="1:15">
      <c r="C39" s="91"/>
      <c r="D39" s="91"/>
      <c r="E39" s="91"/>
    </row>
    <row r="40" spans="1:15">
      <c r="A40" s="590" t="s">
        <v>187</v>
      </c>
      <c r="B40" s="590"/>
      <c r="C40" s="590"/>
      <c r="D40" s="590"/>
      <c r="E40" s="590"/>
      <c r="F40" s="590"/>
      <c r="G40" s="590"/>
      <c r="H40" s="590"/>
      <c r="I40" s="590"/>
      <c r="J40" s="590"/>
      <c r="K40" s="590"/>
      <c r="L40" s="590"/>
      <c r="M40" s="590"/>
    </row>
    <row r="41" spans="1:15">
      <c r="C41" s="91"/>
      <c r="D41" s="91"/>
      <c r="E41" s="91"/>
    </row>
    <row r="42" spans="1:15">
      <c r="C42" s="91" t="s">
        <v>188</v>
      </c>
      <c r="D42" s="91"/>
      <c r="E42" s="91"/>
      <c r="M42" s="95"/>
    </row>
    <row r="43" spans="1:15">
      <c r="C43" s="54" t="s">
        <v>10</v>
      </c>
      <c r="D43" s="54"/>
      <c r="E43" s="54"/>
      <c r="F43" s="54" t="s">
        <v>11</v>
      </c>
      <c r="G43" s="54" t="s">
        <v>12</v>
      </c>
      <c r="H43" s="55" t="s">
        <v>13</v>
      </c>
    </row>
    <row r="44" spans="1:15">
      <c r="C44" s="56">
        <v>2025</v>
      </c>
      <c r="D44" s="56"/>
      <c r="E44" s="56"/>
      <c r="F44" s="56" t="s">
        <v>189</v>
      </c>
      <c r="G44" s="56">
        <v>21</v>
      </c>
      <c r="H44" s="56" t="s">
        <v>178</v>
      </c>
      <c r="L44" t="s">
        <v>192</v>
      </c>
    </row>
    <row r="45" spans="1:15">
      <c r="C45" s="57"/>
      <c r="D45" s="57"/>
      <c r="E45" s="57"/>
      <c r="F45" s="57"/>
    </row>
    <row r="46" spans="1:15" ht="33.75">
      <c r="C46" s="58" t="s">
        <v>16</v>
      </c>
      <c r="D46" s="58"/>
      <c r="E46" s="58"/>
      <c r="F46" s="58" t="s">
        <v>17</v>
      </c>
      <c r="G46" s="58" t="s">
        <v>18</v>
      </c>
      <c r="H46" s="58" t="s">
        <v>19</v>
      </c>
    </row>
    <row r="47" spans="1:15">
      <c r="C47" s="61">
        <v>0.33333333333333298</v>
      </c>
      <c r="D47" s="61"/>
      <c r="E47" s="61"/>
      <c r="F47" s="62">
        <v>10</v>
      </c>
      <c r="G47" s="63">
        <f>C13</f>
        <v>96.34615384615384</v>
      </c>
      <c r="H47" s="130">
        <f>(G47*30%)+G47</f>
        <v>125.24999999999999</v>
      </c>
    </row>
    <row r="49" spans="2:13">
      <c r="B49" s="131" t="s">
        <v>20</v>
      </c>
      <c r="C49" s="131" t="s">
        <v>12</v>
      </c>
      <c r="D49" s="131"/>
      <c r="E49" s="131"/>
      <c r="F49" s="131" t="s">
        <v>21</v>
      </c>
      <c r="G49" s="131" t="s">
        <v>22</v>
      </c>
      <c r="H49" s="131" t="s">
        <v>23</v>
      </c>
      <c r="I49" s="131" t="s">
        <v>24</v>
      </c>
      <c r="J49" s="131" t="s">
        <v>25</v>
      </c>
      <c r="K49" s="131"/>
      <c r="L49" s="131"/>
      <c r="M49" s="131" t="s">
        <v>26</v>
      </c>
    </row>
    <row r="50" spans="2:13">
      <c r="B50" s="70" t="s">
        <v>352</v>
      </c>
      <c r="C50" s="71">
        <f>DATE($A$10,MATCH($F$44,Data!$B$2:$B$13,0),BATUL!$G$44)</f>
        <v>45890</v>
      </c>
      <c r="D50" s="71"/>
      <c r="E50" s="71"/>
      <c r="F50" s="72">
        <v>0</v>
      </c>
      <c r="G50" s="72">
        <v>0</v>
      </c>
      <c r="H50" s="73">
        <v>0</v>
      </c>
      <c r="I50" s="73">
        <f t="shared" ref="I50" si="20">IFERROR(IF(AND(F50&lt;&gt;"",G50&lt;&gt;""),IF(F50&gt;$A$13+TIME($B$13,($B$13-INT($B$13))*60,0),0,IF(G50&gt;$A$13+TIME($B$13,($B$13-INT($B$13))*60,0),MIN(TIME($B$13,($B$13-INT($B$13))*60,0),($A$13+TIME($B$13,($B$13-INT($B$13))*60,0)-F50)),MIN(IF((G50-$A$13)&lt;0,0,(G50-$A$13)),(G50-F50))))*24,"")-H50,"")</f>
        <v>0</v>
      </c>
      <c r="J50" s="73">
        <f>IF(AND(F50&lt;&gt;"",G50&lt;&gt;""),((IF(F50&lt;$C$47,MIN($C$47-F50,G50-F50),0)+IF(G50&gt;$C$47+TIME($F$47,($F$47-INT($F$47))*60,0),MIN((G50-$C$47-TIME($F$47,($F$47-INT($F$47))*60,0)),(G50-F50)),0))*24),"")</f>
        <v>0</v>
      </c>
      <c r="K50" s="73"/>
      <c r="L50" s="73"/>
      <c r="M50" s="99">
        <f>I50*G47</f>
        <v>0</v>
      </c>
    </row>
    <row r="51" spans="2:13">
      <c r="B51" s="70" t="s">
        <v>210</v>
      </c>
      <c r="C51" s="71">
        <v>25</v>
      </c>
      <c r="D51" s="71"/>
      <c r="E51" s="71"/>
      <c r="F51" s="72">
        <v>0</v>
      </c>
      <c r="G51" s="72">
        <v>0</v>
      </c>
      <c r="H51" s="73">
        <v>0</v>
      </c>
      <c r="I51" s="73">
        <f t="shared" ref="I51" si="21">IFERROR(IF(AND(F51&lt;&gt;"",G51&lt;&gt;""),IF(F51&gt;$A$13+TIME($B$13,($B$13-INT($B$13))*60,0),0,IF(G51&gt;$A$13+TIME($B$13,($B$13-INT($B$13))*60,0),MIN(TIME($B$13,($B$13-INT($B$13))*60,0),($A$13+TIME($B$13,($B$13-INT($B$13))*60,0)-F51)),MIN(IF((G51-$A$13)&lt;0,0,(G51-$A$13)),(G51-F51))))*24,"")-H51,"")</f>
        <v>0</v>
      </c>
      <c r="J51" s="73">
        <f>IF(AND(F51&lt;&gt;"",G51&lt;&gt;""),((IF(F51&lt;$C$47,MIN($C$47-F51,G51-F51),0)+IF(G51&gt;$C$47+TIME($F$47,($F$47-INT($F$47))*60,0),MIN((G51-$C$47-TIME($F$47,($F$47-INT($F$47))*60,0)),(G51-F51)),0))*24),"")</f>
        <v>0</v>
      </c>
      <c r="K51" s="73"/>
      <c r="L51" s="73"/>
      <c r="M51" s="99">
        <f>I51*G47</f>
        <v>0</v>
      </c>
    </row>
    <row r="52" spans="2:13"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318">
        <f>SUM(M50:M51)</f>
        <v>0</v>
      </c>
    </row>
    <row r="53" spans="2:13">
      <c r="M53" s="138"/>
    </row>
    <row r="54" spans="2:13">
      <c r="B54" s="132" t="s">
        <v>190</v>
      </c>
      <c r="M54" s="138"/>
    </row>
    <row r="55" spans="2:13">
      <c r="M55" s="138"/>
    </row>
    <row r="56" spans="2:13">
      <c r="C56" s="591">
        <v>44981</v>
      </c>
      <c r="D56" s="591"/>
      <c r="E56" s="591"/>
      <c r="F56" s="88"/>
      <c r="G56" s="148" t="s">
        <v>280</v>
      </c>
      <c r="H56" s="254"/>
      <c r="M56" s="138"/>
    </row>
    <row r="57" spans="2:13">
      <c r="D57" s="88"/>
      <c r="E57" s="88"/>
      <c r="F57" s="256">
        <f>F56*G57</f>
        <v>0</v>
      </c>
      <c r="G57" s="253">
        <v>0.3</v>
      </c>
      <c r="H57" s="254"/>
    </row>
    <row r="58" spans="2:13">
      <c r="D58" s="91"/>
      <c r="E58" s="91"/>
      <c r="F58" s="91"/>
    </row>
    <row r="59" spans="2:13">
      <c r="D59" s="91"/>
      <c r="E59" s="91"/>
      <c r="F59" s="91"/>
      <c r="G59" s="257">
        <f>F57</f>
        <v>0</v>
      </c>
    </row>
    <row r="60" spans="2:13">
      <c r="C60" s="132"/>
      <c r="D60" s="132"/>
      <c r="E60" s="132"/>
      <c r="F60" s="133"/>
      <c r="G60" s="133"/>
      <c r="H60" s="133"/>
    </row>
    <row r="61" spans="2:13">
      <c r="C61" s="132"/>
      <c r="D61" s="132"/>
      <c r="E61" s="132"/>
      <c r="F61" s="133"/>
      <c r="G61" s="133"/>
      <c r="H61" s="133"/>
    </row>
    <row r="62" spans="2:13">
      <c r="F62" s="255"/>
      <c r="G62" s="255"/>
    </row>
    <row r="63" spans="2:13">
      <c r="F63" s="255"/>
      <c r="G63" s="255"/>
    </row>
    <row r="68" spans="2:2">
      <c r="B68" s="91" t="s">
        <v>141</v>
      </c>
    </row>
    <row r="69" spans="2:2">
      <c r="B69" t="s">
        <v>66</v>
      </c>
    </row>
  </sheetData>
  <mergeCells count="12">
    <mergeCell ref="C56:E56"/>
    <mergeCell ref="A40:M40"/>
    <mergeCell ref="F31:G31"/>
    <mergeCell ref="F33:G33"/>
    <mergeCell ref="F35:G35"/>
    <mergeCell ref="F37:G37"/>
    <mergeCell ref="F38:G38"/>
    <mergeCell ref="A5:M5"/>
    <mergeCell ref="B6:C6"/>
    <mergeCell ref="B7:C7"/>
    <mergeCell ref="L6:M6"/>
    <mergeCell ref="L7:M7"/>
  </mergeCells>
  <conditionalFormatting sqref="B51:C51">
    <cfRule type="expression" dxfId="99" priority="20">
      <formula>ISNUMBER(SEARCH(TEXT($C51,"ddd"),$G$11))</formula>
    </cfRule>
  </conditionalFormatting>
  <conditionalFormatting sqref="D16:E30">
    <cfRule type="expression" dxfId="98" priority="3">
      <formula>ISNUMBER(SEARCH(TEXT($C16,"ddd"),$G$11))</formula>
    </cfRule>
  </conditionalFormatting>
  <conditionalFormatting sqref="F16:F17 B16:C30 M16:M30 F19:F24 F26:F30 I29:J30 C50:E50 I50:M51 D51:E51">
    <cfRule type="expression" dxfId="97" priority="40">
      <formula>ISNUMBER(SEARCH(TEXT($B16,"ddd"),$F$10))</formula>
    </cfRule>
  </conditionalFormatting>
  <conditionalFormatting sqref="F18">
    <cfRule type="expression" dxfId="96" priority="19">
      <formula>ISNUMBER(SEARCH(TEXT($C18,"ddd"),$G$11))</formula>
    </cfRule>
  </conditionalFormatting>
  <conditionalFormatting sqref="F25">
    <cfRule type="expression" dxfId="95" priority="16">
      <formula>ISNUMBER(SEARCH(TEXT($C25,"ddd"),$G$11))</formula>
    </cfRule>
  </conditionalFormatting>
  <conditionalFormatting sqref="F50:H51">
    <cfRule type="expression" dxfId="94" priority="5">
      <formula>ISNUMBER(SEARCH(TEXT($C50,"ddd"),$G$11))</formula>
    </cfRule>
  </conditionalFormatting>
  <conditionalFormatting sqref="G16:H30">
    <cfRule type="expression" dxfId="93" priority="1">
      <formula>ISNUMBER(SEARCH(TEXT($C16,"ddd"),$G$11))</formula>
    </cfRule>
  </conditionalFormatting>
  <conditionalFormatting sqref="I28">
    <cfRule type="expression" dxfId="92" priority="148">
      <formula>ISNUMBER(SEARCH(TEXT($B28,"ddd"),$F$10))</formula>
    </cfRule>
  </conditionalFormatting>
  <conditionalFormatting sqref="I16:J27">
    <cfRule type="expression" dxfId="91" priority="35">
      <formula>ISNUMBER(SEARCH(TEXT($B16,"ddd"),$F$10))</formula>
    </cfRule>
  </conditionalFormatting>
  <conditionalFormatting sqref="J28 B50">
    <cfRule type="expression" dxfId="90" priority="86">
      <formula>ISNUMBER(SEARCH(TEXT($C28,"ddd"),$G$11))</formula>
    </cfRule>
  </conditionalFormatting>
  <dataValidations count="4">
    <dataValidation type="list" allowBlank="1" showInputMessage="1" showErrorMessage="1" sqref="G44 C10:E10" xr:uid="{00000000-0002-0000-2900-000000000000}">
      <formula1>DateCalc</formula1>
    </dataValidation>
    <dataValidation type="custom" allowBlank="1" showInputMessage="1" showErrorMessage="1" sqref="F50:F51 F25 D18:F18 D16:E17 D19:E30" xr:uid="{00000000-0002-0000-2900-000001000000}">
      <formula1>AND($G16&lt;=1,ISNUMBER($G16))</formula1>
    </dataValidation>
    <dataValidation type="custom" allowBlank="1" showInputMessage="1" showErrorMessage="1" sqref="G50:G51 G16:G30" xr:uid="{00000000-0002-0000-2900-000002000000}">
      <formula1>AND($H16&lt;=1,ISNUMBER($H16),($H16&gt;=$G16))</formula1>
    </dataValidation>
    <dataValidation type="custom" allowBlank="1" showInputMessage="1" showErrorMessage="1" sqref="F16:F17 F19:F24 F26:F30" xr:uid="{00000000-0002-0000-2900-000003000000}">
      <formula1>AND($F16&lt;=1,ISNUMBER($F16))</formula1>
    </dataValidation>
  </dataValidations>
  <pageMargins left="0.73958333333333337" right="0.25" top="4.1666666666666699E-2" bottom="6.25E-2" header="0.29861111111111099" footer="0.29861111111111099"/>
  <pageSetup paperSize="9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7041" r:id="rId4" name="Check Box 1">
              <controlPr defaultSize="0" print="0" autoPict="0">
                <anchor moveWithCells="1">
                  <from>
                    <xdr:col>6</xdr:col>
                    <xdr:colOff>180975</xdr:colOff>
                    <xdr:row>8</xdr:row>
                    <xdr:rowOff>28575</xdr:rowOff>
                  </from>
                  <to>
                    <xdr:col>8</xdr:col>
                    <xdr:colOff>66675</xdr:colOff>
                    <xdr:row>10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2900-000004000000}">
          <x14:formula1>
            <xm:f>Data!$A$2:$A$12</xm:f>
          </x14:formula1>
          <xm:sqref>C44:E44 A10</xm:sqref>
        </x14:dataValidation>
        <x14:dataValidation type="list" allowBlank="1" showInputMessage="1" showErrorMessage="1" xr:uid="{00000000-0002-0000-2900-000005000000}">
          <x14:formula1>
            <xm:f>Data!$D$2:$D$16</xm:f>
          </x14:formula1>
          <xm:sqref>F10 H44</xm:sqref>
        </x14:dataValidation>
        <x14:dataValidation type="list" allowBlank="1" showInputMessage="1" showErrorMessage="1" xr:uid="{00000000-0002-0000-2900-000006000000}">
          <x14:formula1>
            <xm:f>Data!$B$2:$B$13</xm:f>
          </x14:formula1>
          <xm:sqref>F44 B10</xm:sqref>
        </x14:dataValidation>
      </x14:dataValidation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5:AH70"/>
  <sheetViews>
    <sheetView showGridLines="0" view="pageLayout" topLeftCell="A28" zoomScaleNormal="100" workbookViewId="0">
      <selection activeCell="M31" sqref="M31"/>
    </sheetView>
  </sheetViews>
  <sheetFormatPr defaultColWidth="9" defaultRowHeight="12.75"/>
  <cols>
    <col min="1" max="1" width="1.625" customWidth="1"/>
    <col min="2" max="2" width="5.375" customWidth="1"/>
    <col min="3" max="3" width="7.125" customWidth="1"/>
    <col min="4" max="6" width="7.625" customWidth="1"/>
    <col min="7" max="7" width="10.125" customWidth="1"/>
    <col min="8" max="8" width="9.625" customWidth="1"/>
    <col min="9" max="9" width="8.125" customWidth="1"/>
    <col min="10" max="10" width="10.125" customWidth="1"/>
    <col min="11" max="11" width="7.875" customWidth="1"/>
    <col min="12" max="12" width="10.125" customWidth="1"/>
    <col min="13" max="13" width="10.375" customWidth="1"/>
    <col min="14" max="14" width="10.875" customWidth="1"/>
    <col min="15" max="15" width="16.875" customWidth="1"/>
    <col min="18" max="18" width="11.125" customWidth="1"/>
  </cols>
  <sheetData>
    <row r="5" spans="1:21" ht="25.5" customHeight="1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21" s="47" customFormat="1" ht="25.5" customHeight="1">
      <c r="A6" s="603"/>
      <c r="B6" s="603"/>
      <c r="C6" s="603"/>
      <c r="D6" s="603"/>
      <c r="E6" s="603"/>
      <c r="F6" s="603"/>
      <c r="G6" s="603"/>
      <c r="H6" s="603"/>
      <c r="I6" s="603"/>
      <c r="J6" s="603"/>
      <c r="K6" s="603"/>
      <c r="L6" s="603"/>
      <c r="M6" s="603"/>
      <c r="N6" s="603"/>
    </row>
    <row r="7" spans="1:21" ht="18.75" customHeight="1">
      <c r="C7" s="527" t="s">
        <v>3</v>
      </c>
      <c r="D7" s="527"/>
      <c r="E7" s="49"/>
      <c r="F7" s="49"/>
      <c r="G7" s="50" t="s">
        <v>337</v>
      </c>
      <c r="H7" s="51"/>
      <c r="K7" s="49" t="s">
        <v>174</v>
      </c>
      <c r="M7" s="599" t="str">
        <f>PAALAN!L7</f>
        <v>September  11-25, 2026</v>
      </c>
      <c r="N7" s="599"/>
      <c r="O7" s="599"/>
    </row>
    <row r="8" spans="1:21" ht="18.75" customHeight="1">
      <c r="C8" s="527" t="s">
        <v>175</v>
      </c>
      <c r="D8" s="527"/>
      <c r="E8" s="49"/>
      <c r="F8" s="49"/>
      <c r="G8" s="50" t="s">
        <v>338</v>
      </c>
      <c r="H8" s="51"/>
      <c r="K8" s="49" t="s">
        <v>176</v>
      </c>
      <c r="L8" s="92"/>
      <c r="M8" s="600" t="str">
        <f>PAALAN!L8</f>
        <v>9/31/2026</v>
      </c>
      <c r="N8" s="600"/>
      <c r="O8" s="600"/>
    </row>
    <row r="9" spans="1:21">
      <c r="C9" s="52"/>
      <c r="D9" s="53"/>
      <c r="E9" s="53"/>
      <c r="F9" s="53"/>
      <c r="G9" s="53"/>
    </row>
    <row r="10" spans="1:21">
      <c r="B10" s="54" t="s">
        <v>10</v>
      </c>
      <c r="C10" s="54" t="s">
        <v>11</v>
      </c>
      <c r="D10" s="54" t="s">
        <v>12</v>
      </c>
      <c r="E10" s="54"/>
      <c r="F10" s="54"/>
      <c r="G10" s="55" t="s">
        <v>13</v>
      </c>
    </row>
    <row r="11" spans="1:21">
      <c r="B11" s="56">
        <v>2025</v>
      </c>
      <c r="C11" s="56" t="s">
        <v>177</v>
      </c>
      <c r="D11" s="56">
        <v>11</v>
      </c>
      <c r="E11" s="56"/>
      <c r="F11" s="56"/>
      <c r="G11" s="56" t="s">
        <v>178</v>
      </c>
    </row>
    <row r="12" spans="1:21">
      <c r="B12" s="57"/>
      <c r="C12" s="57"/>
      <c r="H12" s="57"/>
      <c r="K12" s="57"/>
      <c r="L12" s="57"/>
      <c r="M12" s="57"/>
    </row>
    <row r="13" spans="1:21" ht="32.1" customHeight="1">
      <c r="B13" s="159" t="s">
        <v>16</v>
      </c>
      <c r="C13" s="159" t="s">
        <v>17</v>
      </c>
      <c r="D13" s="159" t="s">
        <v>18</v>
      </c>
      <c r="E13" s="160"/>
      <c r="F13" s="160"/>
      <c r="G13" s="160" t="s">
        <v>19</v>
      </c>
      <c r="H13" s="161" t="s">
        <v>179</v>
      </c>
      <c r="L13" s="93"/>
      <c r="M13" s="93"/>
      <c r="N13" s="94"/>
      <c r="O13" s="159" t="s">
        <v>16</v>
      </c>
      <c r="P13" s="159" t="s">
        <v>17</v>
      </c>
      <c r="Q13" s="159" t="s">
        <v>18</v>
      </c>
      <c r="R13" s="160"/>
      <c r="S13" s="160"/>
      <c r="T13" s="160" t="s">
        <v>19</v>
      </c>
      <c r="U13" s="161" t="s">
        <v>179</v>
      </c>
    </row>
    <row r="14" spans="1:21">
      <c r="B14" s="61">
        <v>0.33333333333333331</v>
      </c>
      <c r="C14" s="62">
        <v>10</v>
      </c>
      <c r="D14" s="63">
        <f>(15000/26)/8</f>
        <v>72.115384615384613</v>
      </c>
      <c r="E14" s="142"/>
      <c r="F14" s="142"/>
      <c r="G14" s="64">
        <f>(D14*25%)+D14</f>
        <v>90.144230769230774</v>
      </c>
      <c r="H14" s="65">
        <v>104</v>
      </c>
      <c r="I14" s="95"/>
      <c r="L14" s="57"/>
      <c r="M14" s="57"/>
      <c r="N14" s="95"/>
      <c r="O14" s="61">
        <v>0.375</v>
      </c>
      <c r="P14" s="62">
        <v>3</v>
      </c>
      <c r="Q14" s="63">
        <f>(14555.32/26)/8</f>
        <v>69.977499999999992</v>
      </c>
      <c r="R14" s="142"/>
      <c r="S14" s="142"/>
      <c r="T14" s="64">
        <f>(Q14*25%)+Q14</f>
        <v>87.471874999999983</v>
      </c>
      <c r="U14" s="65">
        <v>87</v>
      </c>
    </row>
    <row r="15" spans="1:21">
      <c r="N15" s="96"/>
    </row>
    <row r="16" spans="1:21" ht="23.25">
      <c r="B16" s="66"/>
      <c r="C16" s="67" t="s">
        <v>20</v>
      </c>
      <c r="D16" s="67" t="s">
        <v>12</v>
      </c>
      <c r="E16" s="67"/>
      <c r="F16" s="67"/>
      <c r="G16" s="67" t="s">
        <v>21</v>
      </c>
      <c r="H16" s="67" t="s">
        <v>22</v>
      </c>
      <c r="I16" s="68" t="s">
        <v>23</v>
      </c>
      <c r="J16" s="68" t="s">
        <v>24</v>
      </c>
      <c r="K16" s="68" t="s">
        <v>25</v>
      </c>
      <c r="L16" s="67" t="s">
        <v>180</v>
      </c>
      <c r="M16" s="134" t="s">
        <v>181</v>
      </c>
      <c r="N16" s="67" t="s">
        <v>26</v>
      </c>
    </row>
    <row r="17" spans="2:34">
      <c r="B17" s="69">
        <v>1</v>
      </c>
      <c r="C17" s="70">
        <f>DATE($B$11,MATCH($C$11,Data!$B$2:$B$13,0),RODRIGUEZ!$D$11)</f>
        <v>45911</v>
      </c>
      <c r="D17" s="71">
        <f>DATE($B$11,MATCH($C$11,Data!$B$2:$B$13,0),RODRIGUEZ!$D$11)</f>
        <v>45911</v>
      </c>
      <c r="E17" s="72">
        <v>0.34027777777777773</v>
      </c>
      <c r="F17" s="72">
        <v>6.9444444444444441E-3</v>
      </c>
      <c r="G17" s="72">
        <f t="shared" ref="G17:G31" si="0">E17-F17</f>
        <v>0.33333333333333331</v>
      </c>
      <c r="H17" s="72">
        <v>0.75</v>
      </c>
      <c r="I17" s="73">
        <v>1</v>
      </c>
      <c r="J17" s="73">
        <f t="shared" ref="J17:J31" si="1">IFERROR(IF(AND(G17&lt;&gt;"",H17&lt;&gt;""),IF(G17&gt;$B$14+TIME($C$14,($C$14-INT($C$14))*60,0),0,IF(H17&gt;$B$14+TIME($C$14,($C$14-INT($C$14))*60,0),MIN(TIME($C$14,($C$14-INT($C$14))*60,0),($B$14+TIME($C$14,($C$14-INT($C$14))*60,0)-G17)),MIN(IF((H17-$B$14)&lt;0,0,(H17-$B$14)),(H17-G17))))*24,"")-I17,"")</f>
        <v>9</v>
      </c>
      <c r="K17" s="73">
        <f t="shared" ref="K17:K22" si="2">IF(AND(G17&lt;&gt;"",H17&lt;&gt;""),((IF(G17&lt;$B$14,MIN($B$14-G17,H17-G17),0)+IF(H17&gt;$B$14+TIME($C$14,($C$14-INT($C$14))*60,0),MIN((H17-$B$14-TIME($C$14,($C$14-INT($C$14))*60,0)),(H17-G17)),0))*24),"")</f>
        <v>0</v>
      </c>
      <c r="L17" s="101">
        <f>G17-B14</f>
        <v>0</v>
      </c>
      <c r="M17" s="102">
        <f>(D14/60)*0</f>
        <v>0</v>
      </c>
      <c r="N17" s="111">
        <f>IFERROR(J17*IF(AND(ISNUMBER(SEARCH(TEXT(C17,"ddd"),$G$11)),Data!$F$2),$G$14,$D$14)+K17*$G$14,"")</f>
        <v>649.03846153846155</v>
      </c>
      <c r="O17" s="141">
        <f t="shared" ref="O17:O30" si="3">M17+N17</f>
        <v>649.03846153846155</v>
      </c>
      <c r="P17" s="100"/>
      <c r="Q17" s="89"/>
    </row>
    <row r="18" spans="2:34">
      <c r="B18" s="69">
        <v>2</v>
      </c>
      <c r="C18" s="70">
        <f t="shared" ref="C18:D31" si="4">C17+1</f>
        <v>45912</v>
      </c>
      <c r="D18" s="71">
        <f t="shared" si="4"/>
        <v>45912</v>
      </c>
      <c r="E18" s="72">
        <v>0.34027777777777773</v>
      </c>
      <c r="F18" s="72">
        <v>6.9444444444444441E-3</v>
      </c>
      <c r="G18" s="72">
        <f t="shared" si="0"/>
        <v>0.33333333333333331</v>
      </c>
      <c r="H18" s="72">
        <v>0.75</v>
      </c>
      <c r="I18" s="73">
        <v>1</v>
      </c>
      <c r="J18" s="73">
        <f t="shared" si="1"/>
        <v>9</v>
      </c>
      <c r="K18" s="73">
        <f t="shared" si="2"/>
        <v>0</v>
      </c>
      <c r="L18" s="101">
        <f>G18-B14</f>
        <v>0</v>
      </c>
      <c r="M18" s="102">
        <f>(D14/60)*0</f>
        <v>0</v>
      </c>
      <c r="N18" s="111">
        <f>IFERROR(J18*IF(AND(ISNUMBER(SEARCH(TEXT(C18,"ddd"),$G$11)),Data!$F$2),$G$14,$D$14)+K18*$G$14,"")</f>
        <v>649.03846153846155</v>
      </c>
      <c r="O18" s="141">
        <f t="shared" si="3"/>
        <v>649.03846153846155</v>
      </c>
      <c r="P18" s="89"/>
      <c r="Q18" s="89"/>
    </row>
    <row r="19" spans="2:34">
      <c r="B19" s="69">
        <v>3</v>
      </c>
      <c r="C19" s="70">
        <f t="shared" si="4"/>
        <v>45913</v>
      </c>
      <c r="D19" s="71">
        <f t="shared" si="4"/>
        <v>45913</v>
      </c>
      <c r="E19" s="72">
        <v>0.38194444444444442</v>
      </c>
      <c r="F19" s="72">
        <v>6.9444444444444441E-3</v>
      </c>
      <c r="G19" s="72">
        <f t="shared" si="0"/>
        <v>0.375</v>
      </c>
      <c r="H19" s="72">
        <v>0.5</v>
      </c>
      <c r="I19" s="73">
        <v>0</v>
      </c>
      <c r="J19" s="73">
        <f t="shared" si="1"/>
        <v>3</v>
      </c>
      <c r="K19" s="73">
        <f t="shared" si="2"/>
        <v>0</v>
      </c>
      <c r="L19" s="101">
        <f>G19-B14</f>
        <v>4.1666666666666685E-2</v>
      </c>
      <c r="M19" s="102">
        <f>(D14/60)*0</f>
        <v>0</v>
      </c>
      <c r="N19" s="111">
        <f>IFERROR(J19*IF(AND(ISNUMBER(SEARCH(TEXT(C19,"ddd"),$G$11)),Data!$F$2),$G$14,$D$14)+K19*$G$14,"")</f>
        <v>216.34615384615384</v>
      </c>
      <c r="O19" s="141">
        <f t="shared" si="3"/>
        <v>216.34615384615384</v>
      </c>
      <c r="P19" s="100"/>
      <c r="Q19" s="104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</row>
    <row r="20" spans="2:34">
      <c r="B20" s="69"/>
      <c r="C20" s="70">
        <f t="shared" si="4"/>
        <v>45914</v>
      </c>
      <c r="D20" s="71">
        <f t="shared" si="4"/>
        <v>45914</v>
      </c>
      <c r="E20" s="72">
        <v>0</v>
      </c>
      <c r="F20" s="72">
        <v>0</v>
      </c>
      <c r="G20" s="72">
        <f t="shared" si="0"/>
        <v>0</v>
      </c>
      <c r="H20" s="72">
        <v>0</v>
      </c>
      <c r="I20" s="73">
        <v>0</v>
      </c>
      <c r="J20" s="73">
        <f t="shared" si="1"/>
        <v>0</v>
      </c>
      <c r="K20" s="73">
        <f t="shared" si="2"/>
        <v>0</v>
      </c>
      <c r="L20" s="97">
        <v>0</v>
      </c>
      <c r="M20" s="98">
        <f>(D14/60)*0</f>
        <v>0</v>
      </c>
      <c r="N20" s="251">
        <f>IFERROR(J20*IF(AND(ISNUMBER(SEARCH(TEXT(C20,"ddd"),$G$11)),Data!$F$2),$G$14,$D$14)+K20*$G$14,"")</f>
        <v>0</v>
      </c>
      <c r="O20" s="141">
        <f t="shared" si="3"/>
        <v>0</v>
      </c>
      <c r="P20" s="103"/>
      <c r="Q20" s="103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28"/>
    </row>
    <row r="21" spans="2:34">
      <c r="B21" s="69">
        <v>4</v>
      </c>
      <c r="C21" s="70">
        <f t="shared" si="4"/>
        <v>45915</v>
      </c>
      <c r="D21" s="71">
        <f t="shared" si="4"/>
        <v>45915</v>
      </c>
      <c r="E21" s="72">
        <v>0.34027777777777773</v>
      </c>
      <c r="F21" s="72">
        <v>6.9444444444444441E-3</v>
      </c>
      <c r="G21" s="72">
        <f>E21-F21</f>
        <v>0.33333333333333331</v>
      </c>
      <c r="H21" s="72">
        <v>0.75</v>
      </c>
      <c r="I21" s="73">
        <v>1</v>
      </c>
      <c r="J21" s="73">
        <f>IFERROR(IF(AND(G21&lt;&gt;"",H21&lt;&gt;""),IF(G21&gt;$B$14+TIME($C$14,($C$14-INT($C$14))*60,0),0,IF(H21&gt;$B$14+TIME($C$14,($C$14-INT($C$14))*60,0),MIN(TIME($C$14,($C$14-INT($C$14))*60,0),($B$14+TIME($C$14,($C$14-INT($C$14))*60,0)-G21)),MIN(IF((H21-$B$14)&lt;0,0,(H21-$B$14)),(H21-G21))))*24,"")-I21,"")</f>
        <v>9</v>
      </c>
      <c r="K21" s="73">
        <f>IF(AND(G21&lt;&gt;"",H21&lt;&gt;""),((IF(G21&lt;$B$14,MIN($B$14-G21,H21-G21),0)+IF(H21&gt;$B$14+TIME($C$14,($C$14-INT($C$14))*60,0),MIN((H21-$B$14-TIME($C$14,($C$14-INT($C$14))*60,0)),(H21-G21)),0))*24),"")</f>
        <v>0</v>
      </c>
      <c r="L21" s="101">
        <f>G21-B14</f>
        <v>0</v>
      </c>
      <c r="M21" s="102">
        <f>(D14/60)*0</f>
        <v>0</v>
      </c>
      <c r="N21" s="111">
        <f>IFERROR(J21*IF(AND(ISNUMBER(SEARCH(TEXT(C21,"ddd"),$G$11)),Data!$F$2),$G$14,$D$14)+K21*$G$14,"")</f>
        <v>649.03846153846155</v>
      </c>
      <c r="O21" s="141">
        <f>M21+N21</f>
        <v>649.03846153846155</v>
      </c>
      <c r="P21" s="162"/>
      <c r="Q21" s="108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4"/>
    </row>
    <row r="22" spans="2:34">
      <c r="B22" s="69">
        <v>5</v>
      </c>
      <c r="C22" s="70">
        <f t="shared" si="4"/>
        <v>45916</v>
      </c>
      <c r="D22" s="71">
        <f t="shared" si="4"/>
        <v>45916</v>
      </c>
      <c r="E22" s="72">
        <v>0</v>
      </c>
      <c r="F22" s="72">
        <v>0</v>
      </c>
      <c r="G22" s="72">
        <f t="shared" si="0"/>
        <v>0</v>
      </c>
      <c r="H22" s="72">
        <v>0</v>
      </c>
      <c r="I22" s="73">
        <v>0</v>
      </c>
      <c r="J22" s="73">
        <f t="shared" si="1"/>
        <v>0</v>
      </c>
      <c r="K22" s="73">
        <f t="shared" si="2"/>
        <v>0</v>
      </c>
      <c r="L22" s="101">
        <v>0.375</v>
      </c>
      <c r="M22" s="102">
        <f>(D14/60)*540</f>
        <v>649.03846153846155</v>
      </c>
      <c r="N22" s="111">
        <f>IFERROR(J22*IF(AND(ISNUMBER(SEARCH(TEXT(C22,"ddd"),$G$11)),Data!$F$2),$G$14,$D$14)+K22*$G$14,"")</f>
        <v>0</v>
      </c>
      <c r="O22" s="141">
        <f t="shared" si="3"/>
        <v>649.03846153846155</v>
      </c>
      <c r="P22" s="163">
        <f>O21-O22</f>
        <v>0</v>
      </c>
      <c r="Q22" s="135"/>
      <c r="R22" s="96">
        <v>0.40486111111111101</v>
      </c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4"/>
    </row>
    <row r="23" spans="2:34">
      <c r="B23" s="69">
        <v>6</v>
      </c>
      <c r="C23" s="70">
        <f t="shared" si="4"/>
        <v>45917</v>
      </c>
      <c r="D23" s="71">
        <f t="shared" si="4"/>
        <v>45917</v>
      </c>
      <c r="E23" s="72">
        <v>0.34027777777777773</v>
      </c>
      <c r="F23" s="72">
        <v>6.9444444444444441E-3</v>
      </c>
      <c r="G23" s="72">
        <f>E23-F23</f>
        <v>0.33333333333333331</v>
      </c>
      <c r="H23" s="72">
        <v>0.75</v>
      </c>
      <c r="I23" s="73">
        <v>1</v>
      </c>
      <c r="J23" s="73">
        <f>IFERROR(IF(AND(G23&lt;&gt;"",H23&lt;&gt;""),IF(G23&gt;$B$14+TIME($C$14,($C$14-INT($C$14))*60,0),0,IF(H23&gt;$B$14+TIME($C$14,($C$14-INT($C$14))*60,0),MIN(TIME($C$14,($C$14-INT($C$14))*60,0),($B$14+TIME($C$14,($C$14-INT($C$14))*60,0)-G23)),MIN(IF((H23-$B$14)&lt;0,0,(H23-$B$14)),(H23-G23))))*24,"")-I23,"")</f>
        <v>9</v>
      </c>
      <c r="K23" s="73">
        <f>IF(AND(G23&lt;&gt;"",H23&lt;&gt;""),((IF(G23&lt;$B$14,MIN($B$14-G23,H23-G23),0)+IF(H23&gt;$B$14+TIME($C$14,($C$14-INT($C$14))*60,0),MIN((H23-$B$14-TIME($C$14,($C$14-INT($C$14))*60,0)),(H23-G23)),0))*24),"")</f>
        <v>0</v>
      </c>
      <c r="L23" s="101">
        <v>0</v>
      </c>
      <c r="M23" s="102">
        <f>(D14/60)*0</f>
        <v>0</v>
      </c>
      <c r="N23" s="111">
        <f>IFERROR(J23*IF(AND(ISNUMBER(SEARCH(TEXT(C23,"ddd"),$G$11)),Data!$F$2),$G$14,$D$14)+K23*$G$14,"")</f>
        <v>649.03846153846155</v>
      </c>
      <c r="O23" s="141">
        <f>M23+N23</f>
        <v>649.03846153846155</v>
      </c>
      <c r="P23" s="150"/>
      <c r="Q23" s="89"/>
      <c r="R23" s="96">
        <v>1.0416666666666701E-2</v>
      </c>
    </row>
    <row r="24" spans="2:34">
      <c r="B24" s="69">
        <v>7</v>
      </c>
      <c r="C24" s="70">
        <f t="shared" si="4"/>
        <v>45918</v>
      </c>
      <c r="D24" s="71">
        <f t="shared" si="4"/>
        <v>45918</v>
      </c>
      <c r="E24" s="72">
        <v>0.34027777777777773</v>
      </c>
      <c r="F24" s="72">
        <v>6.9444444444444441E-3</v>
      </c>
      <c r="G24" s="72">
        <f t="shared" si="0"/>
        <v>0.33333333333333331</v>
      </c>
      <c r="H24" s="72">
        <v>0.5</v>
      </c>
      <c r="I24" s="73">
        <v>0</v>
      </c>
      <c r="J24" s="73">
        <f t="shared" si="1"/>
        <v>4</v>
      </c>
      <c r="K24" s="73">
        <v>0</v>
      </c>
      <c r="L24" s="101">
        <v>0.20833333333333334</v>
      </c>
      <c r="M24" s="102">
        <f>(D14/60)*300</f>
        <v>360.57692307692304</v>
      </c>
      <c r="N24" s="111">
        <f>IFERROR(J24*IF(AND(ISNUMBER(SEARCH(TEXT(C24,"ddd"),$G$11)),Data!$F$2),$G$14,$D$14)+K24*$G$14,"")</f>
        <v>288.46153846153845</v>
      </c>
      <c r="O24" s="141">
        <f t="shared" si="3"/>
        <v>649.03846153846143</v>
      </c>
      <c r="P24" s="155"/>
      <c r="Q24" s="89"/>
      <c r="R24" s="129">
        <f>R22-R23</f>
        <v>0.39444444444444432</v>
      </c>
    </row>
    <row r="25" spans="2:34">
      <c r="B25" s="69">
        <v>8</v>
      </c>
      <c r="C25" s="70">
        <f t="shared" si="4"/>
        <v>45919</v>
      </c>
      <c r="D25" s="71">
        <f t="shared" si="4"/>
        <v>45919</v>
      </c>
      <c r="E25" s="72">
        <v>0</v>
      </c>
      <c r="F25" s="72">
        <v>0</v>
      </c>
      <c r="G25" s="72">
        <f t="shared" si="0"/>
        <v>0</v>
      </c>
      <c r="H25" s="72">
        <v>0</v>
      </c>
      <c r="I25" s="73">
        <v>0</v>
      </c>
      <c r="J25" s="73">
        <f t="shared" si="1"/>
        <v>0</v>
      </c>
      <c r="K25" s="73">
        <f t="shared" ref="K25:K31" si="5">IF(AND(G25&lt;&gt;"",H25&lt;&gt;""),((IF(G25&lt;$B$14,MIN($B$14-G25,H25-G25),0)+IF(H25&gt;$B$14+TIME($C$14,($C$14-INT($C$14))*60,0),MIN((H25-$B$14-TIME($C$14,($C$14-INT($C$14))*60,0)),(H25-G25)),0))*24),"")</f>
        <v>0</v>
      </c>
      <c r="L25" s="101">
        <v>0</v>
      </c>
      <c r="M25" s="102">
        <f>(D14/60)*0</f>
        <v>0</v>
      </c>
      <c r="N25" s="111">
        <f>IFERROR(J25*IF(AND(ISNUMBER(SEARCH(TEXT(C25,"ddd"),$G$11)),Data!$F$2),$G$14,$D$14)+K25*$G$14,"")</f>
        <v>0</v>
      </c>
      <c r="O25" s="141">
        <f t="shared" si="3"/>
        <v>0</v>
      </c>
      <c r="P25" s="89"/>
      <c r="Q25" s="89"/>
    </row>
    <row r="26" spans="2:34">
      <c r="B26" s="69">
        <v>9</v>
      </c>
      <c r="C26" s="70">
        <f t="shared" si="4"/>
        <v>45920</v>
      </c>
      <c r="D26" s="71">
        <f t="shared" si="4"/>
        <v>45920</v>
      </c>
      <c r="E26" s="72">
        <v>0</v>
      </c>
      <c r="F26" s="72">
        <v>0</v>
      </c>
      <c r="G26" s="72">
        <f t="shared" si="0"/>
        <v>0</v>
      </c>
      <c r="H26" s="72">
        <v>0</v>
      </c>
      <c r="I26" s="73">
        <v>0</v>
      </c>
      <c r="J26" s="73">
        <f t="shared" si="1"/>
        <v>0</v>
      </c>
      <c r="K26" s="73">
        <f t="shared" si="5"/>
        <v>0</v>
      </c>
      <c r="L26" s="101">
        <v>0</v>
      </c>
      <c r="M26" s="102">
        <f>(D14/60)*0</f>
        <v>0</v>
      </c>
      <c r="N26" s="111">
        <f>IFERROR(J26*IF(AND(ISNUMBER(SEARCH(TEXT(C26,"ddd"),$G$11)),Data!$F$2),$G$14,$D$14)+K26*$G$14,"")</f>
        <v>0</v>
      </c>
      <c r="O26" s="141">
        <f t="shared" si="3"/>
        <v>0</v>
      </c>
      <c r="P26" s="89"/>
      <c r="Q26" s="89"/>
    </row>
    <row r="27" spans="2:34">
      <c r="B27" s="69"/>
      <c r="C27" s="70">
        <f t="shared" si="4"/>
        <v>45921</v>
      </c>
      <c r="D27" s="71">
        <f t="shared" si="4"/>
        <v>45921</v>
      </c>
      <c r="E27" s="72">
        <v>0</v>
      </c>
      <c r="F27" s="72">
        <v>0</v>
      </c>
      <c r="G27" s="72">
        <f t="shared" si="0"/>
        <v>0</v>
      </c>
      <c r="H27" s="72">
        <v>0</v>
      </c>
      <c r="I27" s="73">
        <v>0</v>
      </c>
      <c r="J27" s="73">
        <f t="shared" si="1"/>
        <v>0</v>
      </c>
      <c r="K27" s="73">
        <f t="shared" si="5"/>
        <v>0</v>
      </c>
      <c r="L27" s="97">
        <v>0</v>
      </c>
      <c r="M27" s="98">
        <f>(D14/60)*0</f>
        <v>0</v>
      </c>
      <c r="N27" s="251">
        <f>IFERROR(J27*IF(AND(ISNUMBER(SEARCH(TEXT(C27,"ddd"),$G$11)),Data!$F$2),$G$14,$D$14)+K27*$G$14,"")</f>
        <v>0</v>
      </c>
      <c r="O27" s="141">
        <f t="shared" si="3"/>
        <v>0</v>
      </c>
      <c r="P27" s="127"/>
      <c r="Q27" s="89"/>
    </row>
    <row r="28" spans="2:34">
      <c r="B28" s="69">
        <v>10</v>
      </c>
      <c r="C28" s="70">
        <f t="shared" si="4"/>
        <v>45922</v>
      </c>
      <c r="D28" s="71">
        <f t="shared" si="4"/>
        <v>45922</v>
      </c>
      <c r="E28" s="72">
        <v>0</v>
      </c>
      <c r="F28" s="72">
        <v>0</v>
      </c>
      <c r="G28" s="72">
        <f t="shared" si="0"/>
        <v>0</v>
      </c>
      <c r="H28" s="72">
        <v>0</v>
      </c>
      <c r="I28" s="73">
        <v>0</v>
      </c>
      <c r="J28" s="73">
        <f t="shared" si="1"/>
        <v>0</v>
      </c>
      <c r="K28" s="73">
        <f t="shared" si="5"/>
        <v>0</v>
      </c>
      <c r="L28" s="101">
        <v>0.375</v>
      </c>
      <c r="M28" s="102">
        <f>(D14/60)*0</f>
        <v>0</v>
      </c>
      <c r="N28" s="111">
        <f>IFERROR(J28*IF(AND(ISNUMBER(SEARCH(TEXT(C28,"ddd"),$G$11)),Data!$F$2),$G$14,$D$14)+K28*$G$14,"")</f>
        <v>0</v>
      </c>
      <c r="O28" s="141">
        <f t="shared" si="3"/>
        <v>0</v>
      </c>
      <c r="Q28" s="89"/>
    </row>
    <row r="29" spans="2:34">
      <c r="B29" s="69">
        <v>11</v>
      </c>
      <c r="C29" s="70">
        <f t="shared" si="4"/>
        <v>45923</v>
      </c>
      <c r="D29" s="71">
        <f t="shared" si="4"/>
        <v>45923</v>
      </c>
      <c r="E29" s="72">
        <v>0.34027777777777773</v>
      </c>
      <c r="F29" s="72">
        <v>6.9444444444444441E-3</v>
      </c>
      <c r="G29" s="72">
        <f>E29-F29</f>
        <v>0.33333333333333331</v>
      </c>
      <c r="H29" s="72">
        <v>0.75</v>
      </c>
      <c r="I29" s="73">
        <v>1</v>
      </c>
      <c r="J29" s="73">
        <f t="shared" si="1"/>
        <v>9</v>
      </c>
      <c r="K29" s="73">
        <f t="shared" si="5"/>
        <v>0</v>
      </c>
      <c r="L29" s="101">
        <v>0</v>
      </c>
      <c r="M29" s="102">
        <f>(D14/60)*0</f>
        <v>0</v>
      </c>
      <c r="N29" s="111">
        <f>IFERROR(J29*IF(AND(ISNUMBER(SEARCH(TEXT(C29,"ddd"),$G$11)),Data!$F$2),$G$14,$D$14)+K29*$G$14,"")</f>
        <v>649.03846153846155</v>
      </c>
      <c r="O29" s="141">
        <f>M29+N29</f>
        <v>649.03846153846155</v>
      </c>
      <c r="P29" s="95">
        <f>O28-O29</f>
        <v>-649.03846153846155</v>
      </c>
      <c r="Q29" s="89"/>
    </row>
    <row r="30" spans="2:34">
      <c r="B30" s="69">
        <v>12</v>
      </c>
      <c r="C30" s="70">
        <f t="shared" si="4"/>
        <v>45924</v>
      </c>
      <c r="D30" s="71">
        <f t="shared" si="4"/>
        <v>45924</v>
      </c>
      <c r="E30" s="72">
        <v>0.34027777777777773</v>
      </c>
      <c r="F30" s="72">
        <v>6.9444444444444441E-3</v>
      </c>
      <c r="G30" s="72">
        <f t="shared" si="0"/>
        <v>0.33333333333333331</v>
      </c>
      <c r="H30" s="72">
        <v>0.75</v>
      </c>
      <c r="I30" s="73">
        <v>1</v>
      </c>
      <c r="J30" s="73">
        <f>IFERROR(IF(AND(G30&lt;&gt;"",H30&lt;&gt;""),IF(G30&gt;$B$14+TIME($C$14,($C$14-INT($C$14))*60,0),0,IF(H30&gt;$B$14+TIME($C$14,($C$14-INT($C$14))*60,0),MIN(TIME($C$14,($C$14-INT($C$14))*60,0),($B$14+TIME($C$14,($C$14-INT($C$14))*60,0)-G30)),MIN(IF((H30-$B$14)&lt;0,0,(H30-$B$14)),(H30-G30))))*24,"")-I30,"")</f>
        <v>9</v>
      </c>
      <c r="K30" s="73">
        <f t="shared" si="5"/>
        <v>0</v>
      </c>
      <c r="L30" s="101">
        <v>0</v>
      </c>
      <c r="M30" s="102">
        <f>(D14/60)*0</f>
        <v>0</v>
      </c>
      <c r="N30" s="111">
        <f>IFERROR(J30*IF(AND(ISNUMBER(SEARCH(TEXT(C30,"ddd"),$G$11)),Data!$F$2),$G$14,$D$14)+K30*$G$14,"")</f>
        <v>649.03846153846155</v>
      </c>
      <c r="O30" s="141">
        <f t="shared" si="3"/>
        <v>649.03846153846155</v>
      </c>
      <c r="P30" s="127"/>
      <c r="Q30" s="89"/>
    </row>
    <row r="31" spans="2:34">
      <c r="B31" s="69">
        <v>13</v>
      </c>
      <c r="C31" s="70">
        <f t="shared" si="4"/>
        <v>45925</v>
      </c>
      <c r="D31" s="71">
        <f t="shared" si="4"/>
        <v>45925</v>
      </c>
      <c r="E31" s="72">
        <v>0.34027777777777773</v>
      </c>
      <c r="F31" s="72">
        <v>6.9444444444444441E-3</v>
      </c>
      <c r="G31" s="72">
        <f t="shared" si="0"/>
        <v>0.33333333333333331</v>
      </c>
      <c r="H31" s="72">
        <v>0.75</v>
      </c>
      <c r="I31" s="73">
        <v>1</v>
      </c>
      <c r="J31" s="73">
        <f t="shared" si="1"/>
        <v>9</v>
      </c>
      <c r="K31" s="73">
        <f t="shared" si="5"/>
        <v>0</v>
      </c>
      <c r="L31" s="101">
        <v>0</v>
      </c>
      <c r="M31" s="102">
        <f>(D14/60)*0</f>
        <v>0</v>
      </c>
      <c r="N31" s="111">
        <f>IFERROR(J31*IF(AND(ISNUMBER(SEARCH(TEXT(C31,"ddd"),$G$11)),Data!$F$2),$G$14,$D$14)+K31*$G$14,"")</f>
        <v>649.03846153846155</v>
      </c>
      <c r="O31" s="141">
        <f>M31+N31</f>
        <v>649.03846153846155</v>
      </c>
      <c r="P31" s="95">
        <f>O28-O31</f>
        <v>-649.03846153846155</v>
      </c>
    </row>
    <row r="32" spans="2:34">
      <c r="B32" s="66"/>
      <c r="C32" s="76"/>
      <c r="D32" s="77"/>
      <c r="E32" s="144"/>
      <c r="F32" s="144"/>
      <c r="G32" s="597" t="s">
        <v>182</v>
      </c>
      <c r="H32" s="598"/>
      <c r="I32" s="80">
        <f>SUM(I17:I31)</f>
        <v>7</v>
      </c>
      <c r="J32" s="80">
        <f>SUM(J17:J31)</f>
        <v>70</v>
      </c>
      <c r="K32" s="80">
        <f>SUM(K17:K31)</f>
        <v>0</v>
      </c>
      <c r="L32" s="80">
        <f>SUM(L17:L31)</f>
        <v>1</v>
      </c>
      <c r="M32" s="80">
        <f>SUM(M17:M31)</f>
        <v>1009.6153846153845</v>
      </c>
      <c r="N32" s="66"/>
      <c r="O32" s="165">
        <f>SUM(O17:O31)</f>
        <v>6057.6923076923085</v>
      </c>
      <c r="P32" s="165">
        <f>SUM(P17:P31)</f>
        <v>-1298.0769230769231</v>
      </c>
      <c r="Q32" s="95">
        <f>O32+P32</f>
        <v>4759.6153846153857</v>
      </c>
    </row>
    <row r="33" spans="2:17">
      <c r="B33" s="66"/>
      <c r="C33" s="76"/>
      <c r="D33" s="77"/>
      <c r="E33" s="144"/>
      <c r="F33" s="144"/>
      <c r="G33" s="81" t="s">
        <v>39</v>
      </c>
      <c r="H33" s="82"/>
      <c r="I33" s="83"/>
      <c r="J33" s="84"/>
      <c r="K33" s="116"/>
      <c r="L33" s="102">
        <f>(D14/60)*840</f>
        <v>1009.6153846153845</v>
      </c>
      <c r="M33" s="118"/>
      <c r="N33" s="166">
        <f>D14*H14</f>
        <v>7500</v>
      </c>
      <c r="O33" s="95"/>
      <c r="P33" s="95"/>
      <c r="Q33" s="95"/>
    </row>
    <row r="34" spans="2:17">
      <c r="B34" s="65"/>
      <c r="C34" s="65"/>
      <c r="D34" s="85"/>
      <c r="E34" s="85"/>
      <c r="F34" s="85"/>
      <c r="G34" s="592" t="s">
        <v>183</v>
      </c>
      <c r="H34" s="592"/>
      <c r="I34" s="80"/>
      <c r="J34" s="80">
        <f>H14-J32</f>
        <v>34</v>
      </c>
      <c r="K34" s="65"/>
      <c r="L34" s="120"/>
      <c r="M34" s="65"/>
      <c r="N34" s="121">
        <f>L33</f>
        <v>1009.6153846153845</v>
      </c>
      <c r="O34" s="151">
        <f>O32-O33</f>
        <v>6057.6923076923085</v>
      </c>
      <c r="P34" s="95"/>
      <c r="Q34" s="95"/>
    </row>
    <row r="35" spans="2:17">
      <c r="B35" s="65"/>
      <c r="C35" s="65"/>
      <c r="D35" s="85"/>
      <c r="E35" s="145"/>
      <c r="F35" s="145"/>
      <c r="G35" s="78" t="s">
        <v>41</v>
      </c>
      <c r="H35" s="79"/>
      <c r="I35" s="66"/>
      <c r="J35" s="66"/>
      <c r="K35" s="80"/>
      <c r="L35" s="80"/>
      <c r="M35" s="80"/>
      <c r="N35" s="121">
        <f>N33-N34</f>
        <v>6490.3846153846152</v>
      </c>
      <c r="O35" s="95"/>
      <c r="P35" s="95"/>
      <c r="Q35" s="95"/>
    </row>
    <row r="36" spans="2:17">
      <c r="B36" s="65"/>
      <c r="C36" s="65"/>
      <c r="D36" s="85"/>
      <c r="E36" s="146"/>
      <c r="F36" s="146"/>
      <c r="G36" s="604" t="s">
        <v>184</v>
      </c>
      <c r="H36" s="605"/>
      <c r="I36" s="80"/>
      <c r="J36" s="66"/>
      <c r="K36" s="122"/>
      <c r="L36" s="122"/>
      <c r="M36" s="122"/>
      <c r="N36" s="123">
        <f>K32*G14</f>
        <v>0</v>
      </c>
      <c r="O36" s="95"/>
    </row>
    <row r="37" spans="2:17">
      <c r="B37" s="65"/>
      <c r="C37" s="65"/>
      <c r="D37" s="85"/>
      <c r="E37" s="146"/>
      <c r="F37" s="146"/>
      <c r="G37" s="86" t="s">
        <v>185</v>
      </c>
      <c r="H37" s="87"/>
      <c r="I37" s="80"/>
      <c r="J37" s="66"/>
      <c r="K37" s="122"/>
      <c r="L37" s="122"/>
      <c r="M37" s="122"/>
      <c r="N37" s="123">
        <f>N53</f>
        <v>0</v>
      </c>
      <c r="O37" s="95"/>
    </row>
    <row r="38" spans="2:17">
      <c r="B38" s="65"/>
      <c r="C38" s="65"/>
      <c r="D38" s="85"/>
      <c r="E38" s="145"/>
      <c r="F38" s="145"/>
      <c r="G38" s="597" t="s">
        <v>186</v>
      </c>
      <c r="H38" s="598"/>
      <c r="I38" s="66"/>
      <c r="J38" s="66"/>
      <c r="K38" s="66"/>
      <c r="L38" s="66"/>
      <c r="M38" s="66"/>
      <c r="N38" s="124">
        <f>N35+N36+N37</f>
        <v>6490.3846153846152</v>
      </c>
      <c r="O38" s="95"/>
    </row>
    <row r="39" spans="2:17">
      <c r="D39" s="88"/>
      <c r="E39" s="88"/>
      <c r="F39" s="88"/>
      <c r="G39" s="589"/>
      <c r="H39" s="589"/>
      <c r="I39" s="90"/>
      <c r="J39" s="90"/>
      <c r="K39" s="125"/>
      <c r="L39" s="125"/>
      <c r="M39" s="125"/>
      <c r="N39" s="126"/>
      <c r="O39" s="127"/>
    </row>
    <row r="40" spans="2:17">
      <c r="D40" s="91"/>
      <c r="E40" s="91"/>
      <c r="F40" s="91"/>
      <c r="M40" t="s">
        <v>196</v>
      </c>
    </row>
    <row r="41" spans="2:17">
      <c r="B41" s="590" t="s">
        <v>187</v>
      </c>
      <c r="C41" s="590"/>
      <c r="D41" s="590"/>
      <c r="E41" s="590"/>
      <c r="F41" s="590"/>
      <c r="G41" s="590"/>
      <c r="H41" s="590"/>
      <c r="I41" s="590"/>
      <c r="J41" s="590"/>
      <c r="K41" s="590"/>
      <c r="L41" s="590"/>
      <c r="M41" s="590"/>
      <c r="N41" s="590"/>
    </row>
    <row r="42" spans="2:17">
      <c r="D42" s="91"/>
      <c r="E42" s="91"/>
      <c r="F42" s="91"/>
    </row>
    <row r="43" spans="2:17">
      <c r="D43" s="91" t="s">
        <v>188</v>
      </c>
      <c r="E43" s="91"/>
      <c r="F43" s="91"/>
      <c r="N43" s="95"/>
    </row>
    <row r="44" spans="2:17">
      <c r="D44" s="54" t="s">
        <v>10</v>
      </c>
      <c r="E44" s="54"/>
      <c r="F44" s="54"/>
      <c r="G44" s="54" t="s">
        <v>11</v>
      </c>
      <c r="H44" s="54" t="s">
        <v>12</v>
      </c>
      <c r="I44" s="55" t="s">
        <v>13</v>
      </c>
    </row>
    <row r="45" spans="2:17">
      <c r="D45" s="56">
        <v>2025</v>
      </c>
      <c r="E45" s="56"/>
      <c r="F45" s="56"/>
      <c r="G45" s="56" t="s">
        <v>189</v>
      </c>
      <c r="H45" s="56">
        <v>21</v>
      </c>
      <c r="I45" s="56" t="s">
        <v>15</v>
      </c>
    </row>
    <row r="46" spans="2:17">
      <c r="D46" s="57"/>
      <c r="E46" s="57"/>
      <c r="F46" s="57"/>
      <c r="G46" s="57"/>
    </row>
    <row r="47" spans="2:17" ht="33.75">
      <c r="D47" s="159" t="s">
        <v>16</v>
      </c>
      <c r="E47" s="159"/>
      <c r="F47" s="159"/>
      <c r="G47" s="159" t="s">
        <v>17</v>
      </c>
      <c r="H47" s="159" t="s">
        <v>18</v>
      </c>
      <c r="I47" s="159" t="s">
        <v>19</v>
      </c>
    </row>
    <row r="48" spans="2:17">
      <c r="D48" s="61">
        <v>0.33333333333333298</v>
      </c>
      <c r="E48" s="61"/>
      <c r="F48" s="61"/>
      <c r="G48" s="62">
        <v>10</v>
      </c>
      <c r="H48" s="63">
        <f>D14</f>
        <v>72.115384615384613</v>
      </c>
      <c r="I48" s="130">
        <f>(H48*30%)+H48</f>
        <v>93.75</v>
      </c>
    </row>
    <row r="50" spans="3:14">
      <c r="C50" s="131" t="s">
        <v>20</v>
      </c>
      <c r="D50" s="131" t="s">
        <v>12</v>
      </c>
      <c r="E50" s="131"/>
      <c r="F50" s="131"/>
      <c r="G50" s="131" t="s">
        <v>21</v>
      </c>
      <c r="H50" s="131" t="s">
        <v>22</v>
      </c>
      <c r="I50" s="131" t="s">
        <v>23</v>
      </c>
      <c r="J50" s="131" t="s">
        <v>24</v>
      </c>
      <c r="K50" s="131" t="s">
        <v>25</v>
      </c>
      <c r="L50" s="131"/>
      <c r="M50" s="131"/>
      <c r="N50" s="131" t="s">
        <v>26</v>
      </c>
    </row>
    <row r="51" spans="3:14">
      <c r="C51" s="70" t="s">
        <v>352</v>
      </c>
      <c r="D51" s="71">
        <v>45890</v>
      </c>
      <c r="E51" s="71"/>
      <c r="F51" s="71"/>
      <c r="G51" s="72">
        <v>0</v>
      </c>
      <c r="H51" s="72">
        <v>0</v>
      </c>
      <c r="I51" s="73">
        <v>0</v>
      </c>
      <c r="J51" s="73">
        <f t="shared" ref="J51:J52" si="6">IFERROR(IF(AND(G51&lt;&gt;"",H51&lt;&gt;""),IF(G51&gt;$B$14+TIME($C$14,($C$14-INT($C$14))*60,0),0,IF(H51&gt;$B$14+TIME($C$14,($C$14-INT($C$14))*60,0),MIN(TIME($C$14,($C$14-INT($C$14))*60,0),($B$14+TIME($C$14,($C$14-INT($C$14))*60,0)-G51)),MIN(IF((H51-$B$14)&lt;0,0,(H51-$B$14)),(H51-G51))))*24,"")-I51,"")</f>
        <v>0</v>
      </c>
      <c r="K51" s="73">
        <f>IF(AND(G51&lt;&gt;"",H51&lt;&gt;""),((IF(G51&lt;$D$48,MIN($D$48-G51,H51-G51),0)+IF(H51&gt;$D$48+TIME($G$48,($G$48-INT($G$48))*60,0),MIN((H51-$D$48-TIME($G$48,($G$48-INT($G$48))*60,0)),(H51-G51)),0))*24),"")</f>
        <v>0</v>
      </c>
      <c r="L51" s="73"/>
      <c r="M51" s="73"/>
      <c r="N51" s="99">
        <f>(H48*J51)</f>
        <v>0</v>
      </c>
    </row>
    <row r="52" spans="3:14">
      <c r="C52" s="70" t="s">
        <v>210</v>
      </c>
      <c r="D52" s="71">
        <v>25</v>
      </c>
      <c r="E52" s="71"/>
      <c r="F52" s="71"/>
      <c r="G52" s="72">
        <v>0</v>
      </c>
      <c r="H52" s="72">
        <v>0</v>
      </c>
      <c r="I52" s="73">
        <v>0</v>
      </c>
      <c r="J52" s="73">
        <f t="shared" si="6"/>
        <v>0</v>
      </c>
      <c r="K52" s="73">
        <f t="shared" ref="K52" si="7">IF(AND(G52&lt;&gt;"",H52&lt;&gt;""),((IF(G52&lt;$D$48,MIN($D$48-G52,H52-G52),0)+IF(H52&gt;$D$48+TIME($G$48,($G$48-INT($G$48))*60,0),MIN((H52-$D$48-TIME($G$48,($G$48-INT($G$48))*60,0)),(H52-G52)),0))*24),"")</f>
        <v>0</v>
      </c>
      <c r="L52" s="73"/>
      <c r="M52" s="73"/>
      <c r="N52" s="99">
        <f>(J52*H48)</f>
        <v>0</v>
      </c>
    </row>
    <row r="53" spans="3:14"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318">
        <f>SUM(N51:N52)</f>
        <v>0</v>
      </c>
    </row>
    <row r="54" spans="3:14">
      <c r="N54" s="138"/>
    </row>
    <row r="55" spans="3:14">
      <c r="C55" s="132" t="s">
        <v>190</v>
      </c>
      <c r="D55" s="132"/>
      <c r="N55" s="138"/>
    </row>
    <row r="56" spans="3:14">
      <c r="N56" s="138"/>
    </row>
    <row r="57" spans="3:14">
      <c r="C57" s="591">
        <v>44981</v>
      </c>
      <c r="D57" s="591"/>
      <c r="E57" s="591"/>
      <c r="F57" s="88"/>
      <c r="G57" s="148" t="s">
        <v>280</v>
      </c>
      <c r="H57" s="254"/>
      <c r="N57" s="138"/>
    </row>
    <row r="58" spans="3:14">
      <c r="D58" s="88"/>
      <c r="E58" s="88"/>
      <c r="F58" s="256">
        <f>F57*G58</f>
        <v>0</v>
      </c>
      <c r="G58" s="253">
        <v>0.3</v>
      </c>
      <c r="H58" s="254"/>
      <c r="N58" s="138"/>
    </row>
    <row r="59" spans="3:14">
      <c r="D59" s="91"/>
      <c r="E59" s="91"/>
      <c r="F59" s="91"/>
      <c r="N59" s="138"/>
    </row>
    <row r="60" spans="3:14">
      <c r="D60" s="91"/>
      <c r="E60" s="91"/>
      <c r="F60" s="91"/>
      <c r="G60" s="257">
        <f>F58</f>
        <v>0</v>
      </c>
      <c r="N60" s="138"/>
    </row>
    <row r="61" spans="3:14">
      <c r="N61" s="138"/>
    </row>
    <row r="62" spans="3:14">
      <c r="D62" s="132"/>
      <c r="E62" s="132"/>
      <c r="F62" s="132"/>
      <c r="G62" s="133"/>
      <c r="H62" s="133"/>
      <c r="I62" s="133"/>
    </row>
    <row r="63" spans="3:14">
      <c r="D63" s="132"/>
      <c r="E63" s="132"/>
      <c r="F63" s="132"/>
      <c r="G63" s="133"/>
      <c r="H63" s="133"/>
      <c r="I63" s="133"/>
    </row>
    <row r="64" spans="3:14">
      <c r="F64" s="132"/>
      <c r="G64" s="133"/>
      <c r="H64" s="133"/>
      <c r="I64" s="133"/>
    </row>
    <row r="65" spans="3:8">
      <c r="G65" s="606"/>
      <c r="H65" s="606"/>
    </row>
    <row r="68" spans="3:8">
      <c r="C68" s="91" t="s">
        <v>141</v>
      </c>
    </row>
    <row r="69" spans="3:8">
      <c r="C69" t="s">
        <v>66</v>
      </c>
    </row>
    <row r="70" spans="3:8">
      <c r="C70" s="91"/>
    </row>
  </sheetData>
  <mergeCells count="13">
    <mergeCell ref="G65:H65"/>
    <mergeCell ref="G34:H34"/>
    <mergeCell ref="G36:H36"/>
    <mergeCell ref="G38:H38"/>
    <mergeCell ref="G39:H39"/>
    <mergeCell ref="B41:N41"/>
    <mergeCell ref="C57:E57"/>
    <mergeCell ref="G32:H32"/>
    <mergeCell ref="A6:N6"/>
    <mergeCell ref="C7:D7"/>
    <mergeCell ref="M7:O7"/>
    <mergeCell ref="C8:D8"/>
    <mergeCell ref="M8:O8"/>
  </mergeCells>
  <conditionalFormatting sqref="C17:D17">
    <cfRule type="expression" dxfId="89" priority="30">
      <formula>ISNUMBER(SEARCH(TEXT($B17,"ddd"),$F$10))</formula>
    </cfRule>
  </conditionalFormatting>
  <conditionalFormatting sqref="C18:D31">
    <cfRule type="expression" dxfId="88" priority="32">
      <formula>ISNUMBER(SEARCH(TEXT($C18,"ddd"),$G$11))</formula>
    </cfRule>
  </conditionalFormatting>
  <conditionalFormatting sqref="C51:N52">
    <cfRule type="expression" dxfId="87" priority="5">
      <formula>ISNUMBER(SEARCH(TEXT($C51,"ddd"),$G$11))</formula>
    </cfRule>
  </conditionalFormatting>
  <conditionalFormatting sqref="E17:K31">
    <cfRule type="expression" dxfId="86" priority="1">
      <formula>ISNUMBER(SEARCH(TEXT($C17,"ddd"),$G$11))</formula>
    </cfRule>
  </conditionalFormatting>
  <conditionalFormatting sqref="N17:N31">
    <cfRule type="expression" dxfId="85" priority="19">
      <formula>ISNUMBER(SEARCH(TEXT($B17,"ddd"),$F$10))</formula>
    </cfRule>
  </conditionalFormatting>
  <dataValidations count="5">
    <dataValidation type="list" allowBlank="1" showInputMessage="1" showErrorMessage="1" sqref="E11:F11" xr:uid="{00000000-0002-0000-2A00-000000000000}">
      <formula1>RODRIGUEZ!DateCalc</formula1>
    </dataValidation>
    <dataValidation type="custom" allowBlank="1" showInputMessage="1" showErrorMessage="1" sqref="G51:G52 E17:G31" xr:uid="{00000000-0002-0000-2A00-000001000000}">
      <formula1>AND($G17&lt;=1,ISNUMBER($G17))</formula1>
    </dataValidation>
    <dataValidation type="custom" allowBlank="1" showInputMessage="1" showErrorMessage="1" sqref="H51:H52 H17:H31" xr:uid="{00000000-0002-0000-2A00-000002000000}">
      <formula1>AND($H17&lt;=1,ISNUMBER($H17),($H17&gt;=$G17))</formula1>
    </dataValidation>
    <dataValidation type="list" allowBlank="1" showInputMessage="1" showErrorMessage="1" sqref="D11 H45" xr:uid="{00000000-0002-0000-2A00-000003000000}">
      <formula1>DateCalc</formula1>
    </dataValidation>
    <dataValidation type="list" allowBlank="1" showInputMessage="1" showErrorMessage="1" sqref="G11" xr:uid="{00000000-0002-0000-2A00-000004000000}"/>
  </dataValidations>
  <pageMargins left="1.07083333333333" right="0.25" top="0.359722222222222" bottom="0.39791666666666697" header="0.29861111111111099" footer="0.29861111111111099"/>
  <pageSetup paperSize="9" scale="91" orientation="landscape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80609" r:id="rId4" name="Check Box 1">
              <controlPr defaultSize="0" print="0" autoPict="0">
                <anchor moveWithCells="1">
                  <from>
                    <xdr:col>7</xdr:col>
                    <xdr:colOff>180975</xdr:colOff>
                    <xdr:row>9</xdr:row>
                    <xdr:rowOff>28575</xdr:rowOff>
                  </from>
                  <to>
                    <xdr:col>8</xdr:col>
                    <xdr:colOff>571500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2A00-000005000000}">
          <x14:formula1>
            <xm:f>Data!$B$2:$B$13</xm:f>
          </x14:formula1>
          <xm:sqref>C11 G45</xm:sqref>
        </x14:dataValidation>
        <x14:dataValidation type="list" allowBlank="1" showInputMessage="1" showErrorMessage="1" xr:uid="{00000000-0002-0000-2A00-000006000000}">
          <x14:formula1>
            <xm:f>Data!$A$2:$A$12</xm:f>
          </x14:formula1>
          <xm:sqref>B11 D45:F45</xm:sqref>
        </x14:dataValidation>
        <x14:dataValidation type="list" allowBlank="1" showInputMessage="1" showErrorMessage="1" xr:uid="{00000000-0002-0000-2A00-000007000000}">
          <x14:formula1>
            <xm:f>Data!$D$2:$D$16</xm:f>
          </x14:formula1>
          <xm:sqref>I45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5:AH69"/>
  <sheetViews>
    <sheetView showGridLines="0" view="pageLayout" topLeftCell="A16" zoomScaleNormal="100" workbookViewId="0">
      <selection activeCell="N37" sqref="N37"/>
    </sheetView>
  </sheetViews>
  <sheetFormatPr defaultColWidth="9" defaultRowHeight="12.75"/>
  <cols>
    <col min="1" max="1" width="1.625" customWidth="1"/>
    <col min="2" max="2" width="5.375" customWidth="1"/>
    <col min="3" max="3" width="7.125" customWidth="1"/>
    <col min="4" max="6" width="7.625" customWidth="1"/>
    <col min="7" max="7" width="10.125" customWidth="1"/>
    <col min="8" max="8" width="9.625" customWidth="1"/>
    <col min="9" max="9" width="8.125" customWidth="1"/>
    <col min="10" max="10" width="10.125" customWidth="1"/>
    <col min="11" max="11" width="7.875" customWidth="1"/>
    <col min="12" max="12" width="10.125" customWidth="1"/>
    <col min="13" max="13" width="10.375" customWidth="1"/>
    <col min="14" max="14" width="12.5" customWidth="1"/>
    <col min="15" max="15" width="16.875" customWidth="1"/>
    <col min="18" max="18" width="11.125" customWidth="1"/>
  </cols>
  <sheetData>
    <row r="5" spans="1:21" ht="25.5" customHeight="1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21" s="47" customFormat="1" ht="25.5" customHeight="1">
      <c r="A6" s="603"/>
      <c r="B6" s="603"/>
      <c r="C6" s="603"/>
      <c r="D6" s="603"/>
      <c r="E6" s="603"/>
      <c r="F6" s="603"/>
      <c r="G6" s="603"/>
      <c r="H6" s="603"/>
      <c r="I6" s="603"/>
      <c r="J6" s="603"/>
      <c r="K6" s="603"/>
      <c r="L6" s="603"/>
      <c r="M6" s="603"/>
      <c r="N6" s="603"/>
    </row>
    <row r="7" spans="1:21" ht="18.75" customHeight="1">
      <c r="C7" s="527" t="s">
        <v>3</v>
      </c>
      <c r="D7" s="527"/>
      <c r="E7" s="49"/>
      <c r="F7" s="49"/>
      <c r="G7" s="50" t="s">
        <v>367</v>
      </c>
      <c r="H7" s="51"/>
      <c r="K7" s="49" t="s">
        <v>174</v>
      </c>
      <c r="M7" s="599" t="str">
        <f>PAALAN!L7</f>
        <v>September  11-25, 2026</v>
      </c>
      <c r="N7" s="599"/>
      <c r="O7" s="599"/>
    </row>
    <row r="8" spans="1:21" ht="18.75" customHeight="1">
      <c r="C8" s="527" t="s">
        <v>175</v>
      </c>
      <c r="D8" s="527"/>
      <c r="E8" s="49"/>
      <c r="F8" s="49"/>
      <c r="G8" s="50" t="s">
        <v>362</v>
      </c>
      <c r="H8" s="51"/>
      <c r="K8" s="49" t="s">
        <v>176</v>
      </c>
      <c r="L8" s="92"/>
      <c r="M8" s="600" t="str">
        <f>PAALAN!L8</f>
        <v>9/31/2026</v>
      </c>
      <c r="N8" s="600"/>
      <c r="O8" s="600"/>
    </row>
    <row r="9" spans="1:21">
      <c r="C9" s="52"/>
      <c r="D9" s="53"/>
      <c r="E9" s="53"/>
      <c r="F9" s="53"/>
      <c r="G9" s="53"/>
    </row>
    <row r="10" spans="1:21">
      <c r="B10" s="54" t="s">
        <v>10</v>
      </c>
      <c r="C10" s="54" t="s">
        <v>11</v>
      </c>
      <c r="D10" s="54" t="s">
        <v>12</v>
      </c>
      <c r="E10" s="54"/>
      <c r="F10" s="54"/>
      <c r="G10" s="55" t="s">
        <v>13</v>
      </c>
    </row>
    <row r="11" spans="1:21">
      <c r="B11" s="56">
        <v>2025</v>
      </c>
      <c r="C11" s="56" t="s">
        <v>204</v>
      </c>
      <c r="D11" s="56">
        <v>11</v>
      </c>
      <c r="E11" s="56"/>
      <c r="F11" s="56"/>
      <c r="G11" s="56" t="s">
        <v>178</v>
      </c>
    </row>
    <row r="12" spans="1:21">
      <c r="B12" s="57"/>
      <c r="C12" s="57"/>
      <c r="H12" s="57"/>
      <c r="K12" s="57"/>
      <c r="L12" s="57"/>
      <c r="M12" s="57"/>
    </row>
    <row r="13" spans="1:21" ht="32.1" customHeight="1">
      <c r="B13" s="159" t="s">
        <v>16</v>
      </c>
      <c r="C13" s="159" t="s">
        <v>17</v>
      </c>
      <c r="D13" s="159" t="s">
        <v>18</v>
      </c>
      <c r="E13" s="160"/>
      <c r="F13" s="160"/>
      <c r="G13" s="160" t="s">
        <v>19</v>
      </c>
      <c r="H13" s="161" t="s">
        <v>179</v>
      </c>
      <c r="L13" s="93"/>
      <c r="M13" s="93"/>
      <c r="N13" s="94"/>
      <c r="O13" s="159" t="s">
        <v>16</v>
      </c>
      <c r="P13" s="159" t="s">
        <v>17</v>
      </c>
      <c r="Q13" s="159" t="s">
        <v>18</v>
      </c>
      <c r="R13" s="160"/>
      <c r="S13" s="160"/>
      <c r="T13" s="160" t="s">
        <v>19</v>
      </c>
      <c r="U13" s="161" t="s">
        <v>179</v>
      </c>
    </row>
    <row r="14" spans="1:21">
      <c r="B14" s="61">
        <v>0.29166666666666669</v>
      </c>
      <c r="C14" s="62">
        <v>14</v>
      </c>
      <c r="D14" s="63">
        <f>(12000/26)/8</f>
        <v>57.692307692307693</v>
      </c>
      <c r="E14" s="142"/>
      <c r="F14" s="142"/>
      <c r="G14" s="64">
        <f>(D14*25%)+D14</f>
        <v>72.115384615384613</v>
      </c>
      <c r="H14" s="65">
        <v>87</v>
      </c>
      <c r="I14" s="95"/>
      <c r="L14" s="57"/>
      <c r="M14" s="57"/>
      <c r="N14" s="95"/>
      <c r="O14" s="61">
        <v>0.375</v>
      </c>
      <c r="P14" s="62">
        <v>3</v>
      </c>
      <c r="Q14" s="63">
        <f>(16082.56/26)/8</f>
        <v>77.319999999999993</v>
      </c>
      <c r="R14" s="142"/>
      <c r="S14" s="142"/>
      <c r="T14" s="64">
        <f>(Q14*25%)+Q14</f>
        <v>96.649999999999991</v>
      </c>
      <c r="U14" s="65">
        <v>99</v>
      </c>
    </row>
    <row r="15" spans="1:21">
      <c r="N15" s="96"/>
    </row>
    <row r="16" spans="1:21" ht="23.25">
      <c r="B16" s="66"/>
      <c r="C16" s="67" t="s">
        <v>20</v>
      </c>
      <c r="D16" s="67" t="s">
        <v>12</v>
      </c>
      <c r="E16" s="67"/>
      <c r="F16" s="67"/>
      <c r="G16" s="67" t="s">
        <v>21</v>
      </c>
      <c r="H16" s="67" t="s">
        <v>22</v>
      </c>
      <c r="I16" s="68" t="s">
        <v>23</v>
      </c>
      <c r="J16" s="68" t="s">
        <v>24</v>
      </c>
      <c r="K16" s="68" t="s">
        <v>25</v>
      </c>
      <c r="L16" s="67" t="s">
        <v>180</v>
      </c>
      <c r="M16" s="134" t="s">
        <v>181</v>
      </c>
      <c r="N16" s="67" t="s">
        <v>26</v>
      </c>
    </row>
    <row r="17" spans="2:34">
      <c r="B17" s="69">
        <v>1</v>
      </c>
      <c r="C17" s="70">
        <f>DATE($B$11,MATCH($C$11,Data!$B$2:$B$13,0),GABO!$D$11)</f>
        <v>45819</v>
      </c>
      <c r="D17" s="71">
        <f>DATE($B$11,MATCH($C$11,Data!$B$2:$B$13,0),GABO!$D$11)</f>
        <v>45819</v>
      </c>
      <c r="E17" s="72">
        <v>0.32708333333333334</v>
      </c>
      <c r="F17" s="72">
        <v>0</v>
      </c>
      <c r="G17" s="72">
        <f t="shared" ref="G17:G31" si="0">E17-F17</f>
        <v>0.32708333333333334</v>
      </c>
      <c r="H17" s="72">
        <v>0.75069444444444444</v>
      </c>
      <c r="I17" s="73">
        <v>1</v>
      </c>
      <c r="J17" s="73">
        <f t="shared" ref="J17:J31" si="1">IFERROR(IF(AND(G17&lt;&gt;"",H17&lt;&gt;""),IF(G17&gt;$B$14+TIME($C$14,($C$14-INT($C$14))*60,0),0,IF(H17&gt;$B$14+TIME($C$14,($C$14-INT($C$14))*60,0),MIN(TIME($C$14,($C$14-INT($C$14))*60,0),($B$14+TIME($C$14,($C$14-INT($C$14))*60,0)-G17)),MIN(IF((H17-$B$14)&lt;0,0,(H17-$B$14)),(H17-G17))))*24,"")-I17,"")</f>
        <v>9.1666666666666661</v>
      </c>
      <c r="K17" s="73">
        <v>0</v>
      </c>
      <c r="L17" s="101">
        <v>0</v>
      </c>
      <c r="M17" s="102">
        <f>(D14/60)*0</f>
        <v>0</v>
      </c>
      <c r="N17" s="111">
        <f>IFERROR(J17*IF(AND(ISNUMBER(SEARCH(TEXT(C17,"ddd"),$G$11)),Data!$F$2),$G$14,$D$14)+K17*$G$14,"")</f>
        <v>528.84615384615381</v>
      </c>
      <c r="O17" s="141">
        <f t="shared" ref="O17:O30" si="2">M17+N17</f>
        <v>528.84615384615381</v>
      </c>
      <c r="P17" s="100"/>
      <c r="Q17" s="89"/>
    </row>
    <row r="18" spans="2:34">
      <c r="B18" s="69">
        <v>2</v>
      </c>
      <c r="C18" s="70">
        <f t="shared" ref="C18:D31" si="3">C17+1</f>
        <v>45820</v>
      </c>
      <c r="D18" s="71">
        <f t="shared" si="3"/>
        <v>45820</v>
      </c>
      <c r="E18" s="72">
        <v>0</v>
      </c>
      <c r="F18" s="72">
        <v>0</v>
      </c>
      <c r="G18" s="72">
        <f t="shared" si="0"/>
        <v>0</v>
      </c>
      <c r="H18" s="72">
        <v>0</v>
      </c>
      <c r="I18" s="73">
        <v>0</v>
      </c>
      <c r="J18" s="73">
        <f t="shared" si="1"/>
        <v>0</v>
      </c>
      <c r="K18" s="73">
        <v>0</v>
      </c>
      <c r="L18" s="101">
        <v>0</v>
      </c>
      <c r="M18" s="102">
        <f>(D14/60)*0</f>
        <v>0</v>
      </c>
      <c r="N18" s="111">
        <f>IFERROR(J18*IF(AND(ISNUMBER(SEARCH(TEXT(C18,"ddd"),$G$11)),Data!$F$2),$G$14,$D$14)+K18*$G$14,"")</f>
        <v>0</v>
      </c>
      <c r="O18" s="141">
        <f t="shared" si="2"/>
        <v>0</v>
      </c>
      <c r="P18" s="89"/>
      <c r="Q18" s="89"/>
    </row>
    <row r="19" spans="2:34">
      <c r="B19" s="69">
        <v>3</v>
      </c>
      <c r="C19" s="70">
        <f t="shared" si="3"/>
        <v>45821</v>
      </c>
      <c r="D19" s="71">
        <f t="shared" si="3"/>
        <v>45821</v>
      </c>
      <c r="E19" s="72">
        <v>0.33263888888888887</v>
      </c>
      <c r="F19" s="72">
        <v>0</v>
      </c>
      <c r="G19" s="72">
        <f t="shared" si="0"/>
        <v>0.33263888888888887</v>
      </c>
      <c r="H19" s="72">
        <v>0.75138888888888899</v>
      </c>
      <c r="I19" s="73">
        <v>1</v>
      </c>
      <c r="J19" s="73">
        <f t="shared" si="1"/>
        <v>9.0500000000000025</v>
      </c>
      <c r="K19" s="73">
        <f t="shared" ref="K19:K31" si="4">IF(AND(G19&lt;&gt;"",H19&lt;&gt;""),((IF(G19&lt;$B$14,MIN($B$14-G19,H19-G19),0)+IF(H19&gt;$B$14+TIME($C$14,($C$14-INT($C$14))*60,0),MIN((H19-$B$14-TIME($C$14,($C$14-INT($C$14))*60,0)),(H19-G19)),0))*24),"")</f>
        <v>0</v>
      </c>
      <c r="L19" s="101">
        <v>0</v>
      </c>
      <c r="M19" s="102">
        <f>(D14/60)*0</f>
        <v>0</v>
      </c>
      <c r="N19" s="111">
        <f>IFERROR(J19*IF(AND(ISNUMBER(SEARCH(TEXT(C19,"ddd"),$G$11)),Data!$F$2),$G$14,$D$14)+K19*$G$14,"")</f>
        <v>522.11538461538476</v>
      </c>
      <c r="O19" s="141">
        <f t="shared" si="2"/>
        <v>522.11538461538476</v>
      </c>
      <c r="P19" s="100"/>
      <c r="Q19" s="104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</row>
    <row r="20" spans="2:34">
      <c r="B20" s="69">
        <v>4</v>
      </c>
      <c r="C20" s="70">
        <f t="shared" si="3"/>
        <v>45822</v>
      </c>
      <c r="D20" s="71">
        <f t="shared" si="3"/>
        <v>45822</v>
      </c>
      <c r="E20" s="72">
        <v>0.36805555555555558</v>
      </c>
      <c r="F20" s="72">
        <v>0</v>
      </c>
      <c r="G20" s="72">
        <f t="shared" si="0"/>
        <v>0.36805555555555558</v>
      </c>
      <c r="H20" s="72">
        <v>0.50486111111111109</v>
      </c>
      <c r="I20" s="73">
        <v>0</v>
      </c>
      <c r="J20" s="73">
        <f t="shared" si="1"/>
        <v>3.2833333333333323</v>
      </c>
      <c r="K20" s="73">
        <f t="shared" si="4"/>
        <v>0</v>
      </c>
      <c r="L20" s="101">
        <v>0</v>
      </c>
      <c r="M20" s="102">
        <f>(D14/60)*0</f>
        <v>0</v>
      </c>
      <c r="N20" s="111">
        <f>IFERROR(J20*IF(AND(ISNUMBER(SEARCH(TEXT(C20,"ddd"),$G$11)),Data!$F$2),$G$14,$D$14)+K20*$G$14,"")</f>
        <v>189.42307692307688</v>
      </c>
      <c r="O20" s="141">
        <f t="shared" si="2"/>
        <v>189.42307692307688</v>
      </c>
      <c r="P20" s="103"/>
      <c r="Q20" s="103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28"/>
    </row>
    <row r="21" spans="2:34">
      <c r="B21" s="69"/>
      <c r="C21" s="70">
        <f t="shared" si="3"/>
        <v>45823</v>
      </c>
      <c r="D21" s="71">
        <f t="shared" si="3"/>
        <v>45823</v>
      </c>
      <c r="E21" s="72">
        <v>0</v>
      </c>
      <c r="F21" s="72">
        <v>0</v>
      </c>
      <c r="G21" s="72">
        <f t="shared" si="0"/>
        <v>0</v>
      </c>
      <c r="H21" s="72">
        <v>0</v>
      </c>
      <c r="I21" s="73">
        <v>0</v>
      </c>
      <c r="J21" s="73">
        <f t="shared" si="1"/>
        <v>0</v>
      </c>
      <c r="K21" s="73">
        <f t="shared" si="4"/>
        <v>0</v>
      </c>
      <c r="L21" s="97">
        <v>0</v>
      </c>
      <c r="M21" s="98">
        <f>(D14/60)*0</f>
        <v>0</v>
      </c>
      <c r="N21" s="251">
        <f>IFERROR(J21*IF(AND(ISNUMBER(SEARCH(TEXT(C21,"ddd"),$G$11)),Data!$F$2),$G$14,$D$14)+K21*$G$14,"")</f>
        <v>0</v>
      </c>
      <c r="O21" s="141">
        <f t="shared" si="2"/>
        <v>0</v>
      </c>
      <c r="P21" s="162"/>
      <c r="Q21" s="108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4"/>
    </row>
    <row r="22" spans="2:34">
      <c r="B22" s="69">
        <v>5</v>
      </c>
      <c r="C22" s="70">
        <f t="shared" si="3"/>
        <v>45824</v>
      </c>
      <c r="D22" s="71">
        <f t="shared" si="3"/>
        <v>45824</v>
      </c>
      <c r="E22" s="72">
        <v>0.33611111111111108</v>
      </c>
      <c r="F22" s="72">
        <v>0</v>
      </c>
      <c r="G22" s="72">
        <f t="shared" si="0"/>
        <v>0.33611111111111108</v>
      </c>
      <c r="H22" s="72">
        <v>0.75416666666666676</v>
      </c>
      <c r="I22" s="73">
        <v>1</v>
      </c>
      <c r="J22" s="73">
        <f t="shared" si="1"/>
        <v>9.0333333333333368</v>
      </c>
      <c r="K22" s="73">
        <f t="shared" si="4"/>
        <v>0</v>
      </c>
      <c r="L22" s="101">
        <v>0</v>
      </c>
      <c r="M22" s="102">
        <f>(D14/60)*0</f>
        <v>0</v>
      </c>
      <c r="N22" s="111">
        <f>IFERROR(J22*IF(AND(ISNUMBER(SEARCH(TEXT(C22,"ddd"),$G$11)),Data!$F$2),$G$14,$D$14)+K22*$G$14,"")</f>
        <v>521.15384615384642</v>
      </c>
      <c r="O22" s="141">
        <f t="shared" si="2"/>
        <v>521.15384615384642</v>
      </c>
      <c r="P22" s="163">
        <f>O21-O22</f>
        <v>-521.15384615384642</v>
      </c>
      <c r="Q22" s="135"/>
      <c r="R22" s="96">
        <v>0.40486111111111101</v>
      </c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4"/>
    </row>
    <row r="23" spans="2:34">
      <c r="B23" s="69">
        <v>6</v>
      </c>
      <c r="C23" s="70">
        <f t="shared" si="3"/>
        <v>45825</v>
      </c>
      <c r="D23" s="71">
        <f t="shared" si="3"/>
        <v>45825</v>
      </c>
      <c r="E23" s="72">
        <v>0.32847222222222222</v>
      </c>
      <c r="F23" s="72">
        <v>0</v>
      </c>
      <c r="G23" s="72">
        <f t="shared" si="0"/>
        <v>0.32847222222222222</v>
      </c>
      <c r="H23" s="72">
        <v>0.75069444444444444</v>
      </c>
      <c r="I23" s="73">
        <v>1</v>
      </c>
      <c r="J23" s="73">
        <f t="shared" si="1"/>
        <v>9.1333333333333329</v>
      </c>
      <c r="K23" s="73">
        <f t="shared" si="4"/>
        <v>0</v>
      </c>
      <c r="L23" s="101">
        <v>0</v>
      </c>
      <c r="M23" s="102">
        <f>(D14/60)*0</f>
        <v>0</v>
      </c>
      <c r="N23" s="111">
        <f>IFERROR(J23*IF(AND(ISNUMBER(SEARCH(TEXT(C23,"ddd"),$G$11)),Data!$F$2),$G$14,$D$14)+K23*$G$14,"")</f>
        <v>526.92307692307691</v>
      </c>
      <c r="O23" s="141">
        <f t="shared" si="2"/>
        <v>526.92307692307691</v>
      </c>
      <c r="P23" s="150"/>
      <c r="Q23" s="89"/>
      <c r="R23" s="96">
        <v>1.0416666666666701E-2</v>
      </c>
    </row>
    <row r="24" spans="2:34">
      <c r="B24" s="69">
        <v>7</v>
      </c>
      <c r="C24" s="70">
        <f t="shared" si="3"/>
        <v>45826</v>
      </c>
      <c r="D24" s="71">
        <f t="shared" si="3"/>
        <v>45826</v>
      </c>
      <c r="E24" s="72">
        <v>0.33333333333333331</v>
      </c>
      <c r="F24" s="72">
        <v>0</v>
      </c>
      <c r="G24" s="72">
        <f t="shared" si="0"/>
        <v>0.33333333333333331</v>
      </c>
      <c r="H24" s="72">
        <v>0.75694444444444453</v>
      </c>
      <c r="I24" s="73">
        <v>1</v>
      </c>
      <c r="J24" s="73">
        <f t="shared" si="1"/>
        <v>9.1666666666666696</v>
      </c>
      <c r="K24" s="73">
        <f t="shared" si="4"/>
        <v>0</v>
      </c>
      <c r="L24" s="101">
        <v>0</v>
      </c>
      <c r="M24" s="102">
        <f>(D14/60)*0</f>
        <v>0</v>
      </c>
      <c r="N24" s="111">
        <f>IFERROR(J24*IF(AND(ISNUMBER(SEARCH(TEXT(C24,"ddd"),$G$11)),Data!$F$2),$G$14,$D$14)+K24*$G$14,"")</f>
        <v>528.84615384615404</v>
      </c>
      <c r="O24" s="141">
        <f t="shared" si="2"/>
        <v>528.84615384615404</v>
      </c>
      <c r="P24" s="155"/>
      <c r="Q24" s="89"/>
      <c r="R24" s="129">
        <f>R22-R23</f>
        <v>0.39444444444444432</v>
      </c>
    </row>
    <row r="25" spans="2:34">
      <c r="B25" s="69">
        <v>8</v>
      </c>
      <c r="C25" s="70">
        <f t="shared" si="3"/>
        <v>45827</v>
      </c>
      <c r="D25" s="71">
        <f t="shared" si="3"/>
        <v>45827</v>
      </c>
      <c r="E25" s="72">
        <v>0.33263888888888887</v>
      </c>
      <c r="F25" s="72">
        <v>0</v>
      </c>
      <c r="G25" s="72">
        <f t="shared" si="0"/>
        <v>0.33263888888888887</v>
      </c>
      <c r="H25" s="72">
        <v>0.75347222222222221</v>
      </c>
      <c r="I25" s="73">
        <v>1</v>
      </c>
      <c r="J25" s="73">
        <f t="shared" si="1"/>
        <v>9.1</v>
      </c>
      <c r="K25" s="73">
        <f t="shared" si="4"/>
        <v>0</v>
      </c>
      <c r="L25" s="101">
        <v>0</v>
      </c>
      <c r="M25" s="102">
        <f>(D14/60)*0</f>
        <v>0</v>
      </c>
      <c r="N25" s="111">
        <f>IFERROR(J25*IF(AND(ISNUMBER(SEARCH(TEXT(C25,"ddd"),$G$11)),Data!$F$2),$G$14,$D$14)+K25*$G$14,"")</f>
        <v>525</v>
      </c>
      <c r="O25" s="141">
        <f t="shared" si="2"/>
        <v>525</v>
      </c>
      <c r="P25" s="89"/>
      <c r="Q25" s="89"/>
    </row>
    <row r="26" spans="2:34">
      <c r="B26" s="69">
        <v>9</v>
      </c>
      <c r="C26" s="70">
        <f t="shared" si="3"/>
        <v>45828</v>
      </c>
      <c r="D26" s="71">
        <f t="shared" si="3"/>
        <v>45828</v>
      </c>
      <c r="E26" s="72">
        <v>0.33749999999999997</v>
      </c>
      <c r="F26" s="72">
        <v>0</v>
      </c>
      <c r="G26" s="72">
        <f t="shared" si="0"/>
        <v>0.33749999999999997</v>
      </c>
      <c r="H26" s="72">
        <v>0.75416666666666676</v>
      </c>
      <c r="I26" s="73">
        <v>1</v>
      </c>
      <c r="J26" s="73">
        <f t="shared" si="1"/>
        <v>9.0000000000000036</v>
      </c>
      <c r="K26" s="73">
        <f t="shared" si="4"/>
        <v>0</v>
      </c>
      <c r="L26" s="101">
        <v>0</v>
      </c>
      <c r="M26" s="102">
        <f>(D14/60)*0</f>
        <v>0</v>
      </c>
      <c r="N26" s="111">
        <f>IFERROR(J26*IF(AND(ISNUMBER(SEARCH(TEXT(C26,"ddd"),$G$11)),Data!$F$2),$G$14,$D$14)+K26*$G$14,"")</f>
        <v>519.2307692307694</v>
      </c>
      <c r="O26" s="141">
        <f t="shared" si="2"/>
        <v>519.2307692307694</v>
      </c>
      <c r="P26" s="89"/>
      <c r="Q26" s="89"/>
    </row>
    <row r="27" spans="2:34">
      <c r="B27" s="69">
        <v>10</v>
      </c>
      <c r="C27" s="70">
        <f t="shared" si="3"/>
        <v>45829</v>
      </c>
      <c r="D27" s="71">
        <f t="shared" si="3"/>
        <v>45829</v>
      </c>
      <c r="E27" s="72">
        <v>0.37638888888888888</v>
      </c>
      <c r="F27" s="72">
        <v>0</v>
      </c>
      <c r="G27" s="72">
        <f t="shared" si="0"/>
        <v>0.37638888888888888</v>
      </c>
      <c r="H27" s="72">
        <v>0.71180555555555547</v>
      </c>
      <c r="I27" s="73">
        <v>1</v>
      </c>
      <c r="J27" s="73">
        <f t="shared" si="1"/>
        <v>7.0499999999999972</v>
      </c>
      <c r="K27" s="73">
        <f t="shared" si="4"/>
        <v>0</v>
      </c>
      <c r="L27" s="101">
        <v>0</v>
      </c>
      <c r="M27" s="102">
        <f>(D14/60)*0</f>
        <v>0</v>
      </c>
      <c r="N27" s="111">
        <f>IFERROR(J27*IF(AND(ISNUMBER(SEARCH(TEXT(C27,"ddd"),$G$11)),Data!$F$2),$G$14,$D$14)+K27*$G$14,"")</f>
        <v>406.73076923076906</v>
      </c>
      <c r="O27" s="141">
        <f t="shared" si="2"/>
        <v>406.73076923076906</v>
      </c>
      <c r="P27" s="127"/>
      <c r="Q27" s="89"/>
    </row>
    <row r="28" spans="2:34">
      <c r="B28" s="69"/>
      <c r="C28" s="70">
        <f t="shared" si="3"/>
        <v>45830</v>
      </c>
      <c r="D28" s="71">
        <f t="shared" si="3"/>
        <v>45830</v>
      </c>
      <c r="E28" s="72">
        <v>0</v>
      </c>
      <c r="F28" s="72">
        <v>0</v>
      </c>
      <c r="G28" s="72">
        <f t="shared" si="0"/>
        <v>0</v>
      </c>
      <c r="H28" s="72">
        <v>0</v>
      </c>
      <c r="I28" s="73">
        <v>0</v>
      </c>
      <c r="J28" s="73">
        <f t="shared" si="1"/>
        <v>0</v>
      </c>
      <c r="K28" s="73">
        <f t="shared" si="4"/>
        <v>0</v>
      </c>
      <c r="L28" s="97">
        <v>0</v>
      </c>
      <c r="M28" s="98">
        <f>(D14/60)*0</f>
        <v>0</v>
      </c>
      <c r="N28" s="251">
        <f>IFERROR(J28*IF(AND(ISNUMBER(SEARCH(TEXT(C28,"ddd"),$G$11)),Data!$F$2),$G$14,$D$14)+K28*$G$14,"")</f>
        <v>0</v>
      </c>
      <c r="O28" s="141">
        <f t="shared" si="2"/>
        <v>0</v>
      </c>
      <c r="Q28" s="89"/>
    </row>
    <row r="29" spans="2:34">
      <c r="B29" s="69">
        <v>11</v>
      </c>
      <c r="C29" s="70">
        <f t="shared" si="3"/>
        <v>45831</v>
      </c>
      <c r="D29" s="71">
        <f t="shared" si="3"/>
        <v>45831</v>
      </c>
      <c r="E29" s="72">
        <v>0</v>
      </c>
      <c r="F29" s="72">
        <v>0</v>
      </c>
      <c r="G29" s="72">
        <f t="shared" si="0"/>
        <v>0</v>
      </c>
      <c r="H29" s="72">
        <v>0</v>
      </c>
      <c r="I29" s="73">
        <v>0</v>
      </c>
      <c r="J29" s="73">
        <f t="shared" si="1"/>
        <v>0</v>
      </c>
      <c r="K29" s="73">
        <f t="shared" si="4"/>
        <v>0</v>
      </c>
      <c r="L29" s="101">
        <v>0</v>
      </c>
      <c r="M29" s="102">
        <f>(D14/60)*0</f>
        <v>0</v>
      </c>
      <c r="N29" s="111">
        <f>IFERROR(J29*IF(AND(ISNUMBER(SEARCH(TEXT(C29,"ddd"),$G$11)),Data!$F$2),$G$14,$D$14)+K29*$G$14,"")</f>
        <v>0</v>
      </c>
      <c r="O29" s="141">
        <f>M29+N29</f>
        <v>0</v>
      </c>
      <c r="P29" s="95">
        <f>O28-O29</f>
        <v>0</v>
      </c>
      <c r="Q29" s="89"/>
    </row>
    <row r="30" spans="2:34">
      <c r="B30" s="69">
        <v>12</v>
      </c>
      <c r="C30" s="70">
        <f t="shared" si="3"/>
        <v>45832</v>
      </c>
      <c r="D30" s="71">
        <f t="shared" si="3"/>
        <v>45832</v>
      </c>
      <c r="E30" s="72">
        <v>0.33680555555555558</v>
      </c>
      <c r="F30" s="72">
        <v>0</v>
      </c>
      <c r="G30" s="72">
        <f t="shared" si="0"/>
        <v>0.33680555555555558</v>
      </c>
      <c r="H30" s="72">
        <v>0.75416666666666676</v>
      </c>
      <c r="I30" s="73">
        <v>1</v>
      </c>
      <c r="J30" s="73">
        <f t="shared" si="1"/>
        <v>9.0166666666666693</v>
      </c>
      <c r="K30" s="73">
        <f t="shared" si="4"/>
        <v>0</v>
      </c>
      <c r="L30" s="101">
        <f>G30-B14</f>
        <v>4.5138888888888895E-2</v>
      </c>
      <c r="M30" s="102">
        <f>(D14/60)*0</f>
        <v>0</v>
      </c>
      <c r="N30" s="111">
        <f>IFERROR(J30*IF(AND(ISNUMBER(SEARCH(TEXT(C30,"ddd"),$G$11)),Data!$F$2),$G$14,$D$14)+K30*$G$14,"")</f>
        <v>520.19230769230785</v>
      </c>
      <c r="O30" s="141">
        <f t="shared" si="2"/>
        <v>520.19230769230785</v>
      </c>
      <c r="P30" s="127"/>
      <c r="Q30" s="89"/>
    </row>
    <row r="31" spans="2:34">
      <c r="B31" s="69">
        <v>13</v>
      </c>
      <c r="C31" s="70">
        <f t="shared" si="3"/>
        <v>45833</v>
      </c>
      <c r="D31" s="71">
        <f t="shared" si="3"/>
        <v>45833</v>
      </c>
      <c r="E31" s="72">
        <v>0.32847222222222222</v>
      </c>
      <c r="F31" s="72">
        <v>0</v>
      </c>
      <c r="G31" s="72">
        <f t="shared" si="0"/>
        <v>0.32847222222222222</v>
      </c>
      <c r="H31" s="72">
        <v>0.75069444444444444</v>
      </c>
      <c r="I31" s="73">
        <v>1</v>
      </c>
      <c r="J31" s="73">
        <f t="shared" si="1"/>
        <v>9.1333333333333329</v>
      </c>
      <c r="K31" s="73">
        <f t="shared" si="4"/>
        <v>0</v>
      </c>
      <c r="L31" s="101">
        <v>0</v>
      </c>
      <c r="M31" s="102">
        <f>(D14/60)*0</f>
        <v>0</v>
      </c>
      <c r="N31" s="111">
        <f>IFERROR(J31*IF(AND(ISNUMBER(SEARCH(TEXT(C31,"ddd"),$G$11)),Data!$F$2),$G$14,$D$14)+K31*$G$14,"")</f>
        <v>526.92307692307691</v>
      </c>
      <c r="O31" s="141">
        <f>M31+N31</f>
        <v>526.92307692307691</v>
      </c>
      <c r="P31" s="95">
        <f>O28-O31</f>
        <v>-526.92307692307691</v>
      </c>
    </row>
    <row r="32" spans="2:34">
      <c r="B32" s="66"/>
      <c r="C32" s="76"/>
      <c r="D32" s="77"/>
      <c r="E32" s="144"/>
      <c r="F32" s="144"/>
      <c r="G32" s="597" t="s">
        <v>182</v>
      </c>
      <c r="H32" s="598"/>
      <c r="I32" s="80">
        <f>SUM(I17:I31)</f>
        <v>10</v>
      </c>
      <c r="J32" s="80">
        <f>SUM(J17:J31)</f>
        <v>92.133333333333354</v>
      </c>
      <c r="K32" s="80">
        <f>SUM(K17:K31)</f>
        <v>0</v>
      </c>
      <c r="L32" s="80">
        <f>SUM(L17:L31)</f>
        <v>4.5138888888888895E-2</v>
      </c>
      <c r="M32" s="80">
        <f>SUM(M17:M31)</f>
        <v>0</v>
      </c>
      <c r="N32" s="66"/>
      <c r="O32" s="165">
        <f>SUM(O17:O31)</f>
        <v>5315.3846153846171</v>
      </c>
      <c r="P32" s="165">
        <f>SUM(P17:P31)</f>
        <v>-1048.0769230769233</v>
      </c>
      <c r="Q32" s="95">
        <f>O32+P32</f>
        <v>4267.3076923076933</v>
      </c>
    </row>
    <row r="33" spans="2:17">
      <c r="B33" s="66"/>
      <c r="C33" s="76"/>
      <c r="D33" s="77"/>
      <c r="E33" s="144"/>
      <c r="F33" s="144"/>
      <c r="G33" s="81" t="s">
        <v>39</v>
      </c>
      <c r="H33" s="82"/>
      <c r="I33" s="83"/>
      <c r="J33" s="84"/>
      <c r="K33" s="116"/>
      <c r="L33" s="102">
        <f>(D14/60)*0</f>
        <v>0</v>
      </c>
      <c r="M33" s="118"/>
      <c r="N33" s="166">
        <f>D14*H14</f>
        <v>5019.2307692307695</v>
      </c>
      <c r="O33" s="95"/>
      <c r="P33" s="95"/>
      <c r="Q33" s="95"/>
    </row>
    <row r="34" spans="2:17">
      <c r="B34" s="65"/>
      <c r="C34" s="65"/>
      <c r="D34" s="85"/>
      <c r="E34" s="85"/>
      <c r="F34" s="85"/>
      <c r="G34" s="592" t="s">
        <v>183</v>
      </c>
      <c r="H34" s="592"/>
      <c r="I34" s="80"/>
      <c r="J34" s="80">
        <f>H14-J32</f>
        <v>-5.1333333333333542</v>
      </c>
      <c r="K34" s="65"/>
      <c r="L34" s="120"/>
      <c r="M34" s="65"/>
      <c r="N34" s="121">
        <f>M32</f>
        <v>0</v>
      </c>
      <c r="O34" s="151">
        <f>O32-O33</f>
        <v>5315.3846153846171</v>
      </c>
      <c r="P34" s="95"/>
      <c r="Q34" s="95"/>
    </row>
    <row r="35" spans="2:17">
      <c r="B35" s="65"/>
      <c r="C35" s="65"/>
      <c r="D35" s="85"/>
      <c r="E35" s="145"/>
      <c r="F35" s="145"/>
      <c r="G35" s="78" t="s">
        <v>41</v>
      </c>
      <c r="H35" s="79"/>
      <c r="I35" s="66"/>
      <c r="J35" s="66"/>
      <c r="K35" s="80"/>
      <c r="L35" s="80"/>
      <c r="M35" s="80"/>
      <c r="N35" s="121">
        <f>N33-N34</f>
        <v>5019.2307692307695</v>
      </c>
      <c r="O35" s="95"/>
      <c r="P35" s="95"/>
      <c r="Q35" s="95"/>
    </row>
    <row r="36" spans="2:17">
      <c r="B36" s="65"/>
      <c r="C36" s="65"/>
      <c r="D36" s="85"/>
      <c r="E36" s="146"/>
      <c r="F36" s="146"/>
      <c r="G36" s="604" t="s">
        <v>184</v>
      </c>
      <c r="H36" s="605"/>
      <c r="I36" s="80"/>
      <c r="J36" s="401">
        <f>(J32+K32)-H14</f>
        <v>5.1333333333333542</v>
      </c>
      <c r="K36" s="122"/>
      <c r="L36" s="122"/>
      <c r="M36" s="122"/>
      <c r="N36" s="123">
        <v>0</v>
      </c>
      <c r="O36" s="95"/>
    </row>
    <row r="37" spans="2:17">
      <c r="B37" s="65"/>
      <c r="C37" s="65"/>
      <c r="D37" s="85"/>
      <c r="E37" s="146"/>
      <c r="F37" s="146"/>
      <c r="G37" s="86" t="s">
        <v>185</v>
      </c>
      <c r="H37" s="87"/>
      <c r="I37" s="80"/>
      <c r="J37" s="66"/>
      <c r="K37" s="122"/>
      <c r="L37" s="122"/>
      <c r="M37" s="122"/>
      <c r="N37" s="123">
        <f>N53</f>
        <v>1194.2305384615388</v>
      </c>
      <c r="O37" s="95"/>
    </row>
    <row r="38" spans="2:17">
      <c r="B38" s="65"/>
      <c r="C38" s="65"/>
      <c r="D38" s="85"/>
      <c r="E38" s="145"/>
      <c r="F38" s="145"/>
      <c r="G38" s="597" t="s">
        <v>186</v>
      </c>
      <c r="H38" s="598"/>
      <c r="I38" s="66"/>
      <c r="J38" s="66"/>
      <c r="K38" s="66"/>
      <c r="L38" s="66"/>
      <c r="M38" s="66"/>
      <c r="N38" s="124">
        <f>N35+N36+N37</f>
        <v>6213.4613076923088</v>
      </c>
      <c r="O38" s="95"/>
    </row>
    <row r="39" spans="2:17">
      <c r="D39" s="88"/>
      <c r="E39" s="88"/>
      <c r="F39" s="88"/>
      <c r="G39" s="589"/>
      <c r="H39" s="589"/>
      <c r="I39" s="90"/>
      <c r="J39" s="90"/>
      <c r="K39" s="125"/>
      <c r="L39" s="125"/>
      <c r="M39" s="125"/>
      <c r="N39" s="126"/>
      <c r="O39" s="127"/>
    </row>
    <row r="40" spans="2:17">
      <c r="D40" s="91"/>
      <c r="E40" s="91"/>
      <c r="F40" s="91"/>
      <c r="M40" t="s">
        <v>196</v>
      </c>
    </row>
    <row r="41" spans="2:17">
      <c r="B41" s="590" t="s">
        <v>187</v>
      </c>
      <c r="C41" s="590"/>
      <c r="D41" s="590"/>
      <c r="E41" s="590"/>
      <c r="F41" s="590"/>
      <c r="G41" s="590"/>
      <c r="H41" s="590"/>
      <c r="I41" s="590"/>
      <c r="J41" s="590"/>
      <c r="K41" s="590"/>
      <c r="L41" s="590"/>
      <c r="M41" s="590"/>
      <c r="N41" s="590"/>
    </row>
    <row r="42" spans="2:17">
      <c r="D42" s="91"/>
      <c r="E42" s="91"/>
      <c r="F42" s="91"/>
    </row>
    <row r="43" spans="2:17">
      <c r="D43" s="91" t="s">
        <v>188</v>
      </c>
      <c r="E43" s="91"/>
      <c r="F43" s="91"/>
      <c r="N43" s="95"/>
    </row>
    <row r="44" spans="2:17">
      <c r="D44" s="54" t="s">
        <v>10</v>
      </c>
      <c r="E44" s="54"/>
      <c r="F44" s="54"/>
      <c r="G44" s="54" t="s">
        <v>11</v>
      </c>
      <c r="H44" s="54" t="s">
        <v>12</v>
      </c>
      <c r="I44" s="55" t="s">
        <v>13</v>
      </c>
    </row>
    <row r="45" spans="2:17">
      <c r="D45" s="56">
        <v>2025</v>
      </c>
      <c r="E45" s="56"/>
      <c r="F45" s="56"/>
      <c r="G45" s="56" t="s">
        <v>204</v>
      </c>
      <c r="H45" s="56">
        <v>12</v>
      </c>
      <c r="I45" s="56" t="s">
        <v>15</v>
      </c>
    </row>
    <row r="46" spans="2:17">
      <c r="D46" s="57"/>
      <c r="E46" s="57"/>
      <c r="F46" s="57"/>
      <c r="G46" s="57"/>
    </row>
    <row r="47" spans="2:17" ht="33.75">
      <c r="D47" s="159" t="s">
        <v>16</v>
      </c>
      <c r="E47" s="159"/>
      <c r="F47" s="159"/>
      <c r="G47" s="159" t="s">
        <v>17</v>
      </c>
      <c r="H47" s="159" t="s">
        <v>18</v>
      </c>
      <c r="I47" s="159" t="s">
        <v>19</v>
      </c>
    </row>
    <row r="48" spans="2:17">
      <c r="D48" s="61">
        <v>0.33333333333333298</v>
      </c>
      <c r="E48" s="61"/>
      <c r="F48" s="61"/>
      <c r="G48" s="62">
        <v>10</v>
      </c>
      <c r="H48" s="63">
        <f>D14</f>
        <v>57.692307692307693</v>
      </c>
      <c r="I48" s="130">
        <f>(H48*30%)+H48</f>
        <v>75</v>
      </c>
    </row>
    <row r="50" spans="3:14">
      <c r="C50" s="131" t="s">
        <v>20</v>
      </c>
      <c r="D50" s="131" t="s">
        <v>12</v>
      </c>
      <c r="E50" s="131"/>
      <c r="F50" s="131"/>
      <c r="G50" s="131" t="s">
        <v>21</v>
      </c>
      <c r="H50" s="131" t="s">
        <v>22</v>
      </c>
      <c r="I50" s="131" t="s">
        <v>23</v>
      </c>
      <c r="J50" s="131" t="s">
        <v>24</v>
      </c>
      <c r="K50" s="131" t="s">
        <v>25</v>
      </c>
      <c r="L50" s="131"/>
      <c r="M50" s="131"/>
      <c r="N50" s="131" t="s">
        <v>26</v>
      </c>
    </row>
    <row r="51" spans="3:14">
      <c r="C51" s="70" t="s">
        <v>352</v>
      </c>
      <c r="D51" s="71">
        <v>45820</v>
      </c>
      <c r="E51" s="71"/>
      <c r="F51" s="71"/>
      <c r="G51" s="72">
        <v>0.33333333333333331</v>
      </c>
      <c r="H51" s="72">
        <v>0.75</v>
      </c>
      <c r="I51" s="73">
        <v>1</v>
      </c>
      <c r="J51" s="73">
        <f>IFERROR(IF(AND(G51&lt;&gt;"",H51&lt;&gt;""),IF(G51&gt;$B$14+TIME($C$14,($C$14-INT($C$14))*60,0),0,IF(H51&gt;$B$14+TIME($C$14,($C$14-INT($C$14))*60,0),MIN(TIME($C$14,($C$14-INT($C$14))*60,0),($B$14+TIME($C$14,($C$14-INT($C$14))*60,0)-G51)),MIN(IF((H51-$B$14)&lt;0,0,(H51-$B$14)),(H51-G51))))*24,"")-I51,"")</f>
        <v>9</v>
      </c>
      <c r="K51" s="73">
        <f>IF(AND(G51&lt;&gt;"",H51&lt;&gt;""),((IF(G51&lt;$D$48,MIN($D$48-G51,H51-G51),0)+IF(H51&gt;$D$48+TIME($G$48,($G$48-INT($G$48))*60,0),MIN((H51-$D$48-TIME($G$48,($G$48-INT($G$48))*60,0)),(H51-G51)),0))*24),"")</f>
        <v>0</v>
      </c>
      <c r="L51" s="73"/>
      <c r="M51" s="73"/>
      <c r="N51" s="99">
        <f>J51*H48</f>
        <v>519.23076923076928</v>
      </c>
    </row>
    <row r="52" spans="3:14">
      <c r="C52" s="70" t="s">
        <v>210</v>
      </c>
      <c r="D52" s="71">
        <v>23</v>
      </c>
      <c r="E52" s="71"/>
      <c r="F52" s="71"/>
      <c r="G52" s="72">
        <v>0.3347222222222222</v>
      </c>
      <c r="H52" s="72">
        <v>0.75138888888888899</v>
      </c>
      <c r="I52" s="73">
        <v>1</v>
      </c>
      <c r="J52" s="73">
        <f>IFERROR(IF(AND(G52&lt;&gt;"",H52&lt;&gt;""),IF(G52&gt;$B$14+TIME($C$14,($C$14-INT($C$14))*60,0),0,IF(H52&gt;$B$14+TIME($C$14,($C$14-INT($C$14))*60,0),MIN(TIME($C$14,($C$14-INT($C$14))*60,0),($B$14+TIME($C$14,($C$14-INT($C$14))*60,0)-G52)),MIN(IF((H52-$B$14)&lt;0,0,(H52-$B$14)),(H52-G52))))*24,"")-I52,"")</f>
        <v>9.0000000000000036</v>
      </c>
      <c r="K52" s="73">
        <f>IF(AND(G52&lt;&gt;"",H52&lt;&gt;""),((IF(G52&lt;$D$48,MIN($D$48-G52,H52-G52),0)+IF(H52&gt;$D$48+TIME($G$48,($G$48-INT($G$48))*60,0),MIN((H52-$D$48-TIME($G$48,($G$48-INT($G$48))*60,0)),(H52-G52)),0))*24),"")</f>
        <v>3.3333333333343873E-2</v>
      </c>
      <c r="L52" s="73"/>
      <c r="M52" s="73"/>
      <c r="N52" s="99">
        <f>(J52*H48)+(519.23*30%)</f>
        <v>674.9997692307694</v>
      </c>
    </row>
    <row r="53" spans="3:14"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318">
        <f>SUM(N51:N52)</f>
        <v>1194.2305384615388</v>
      </c>
    </row>
    <row r="54" spans="3:14" ht="12" customHeight="1">
      <c r="N54" s="138"/>
    </row>
    <row r="55" spans="3:14">
      <c r="N55" s="138"/>
    </row>
    <row r="56" spans="3:14">
      <c r="D56" s="591">
        <v>44981</v>
      </c>
      <c r="E56" s="591"/>
      <c r="F56" s="591"/>
      <c r="G56" s="88"/>
      <c r="H56" s="148" t="s">
        <v>280</v>
      </c>
      <c r="I56" s="254"/>
      <c r="N56" s="138"/>
    </row>
    <row r="57" spans="3:14">
      <c r="E57" s="88"/>
      <c r="F57" s="88"/>
      <c r="G57" s="88">
        <f>G56*H57</f>
        <v>0</v>
      </c>
      <c r="H57" s="253">
        <v>0.3</v>
      </c>
      <c r="I57" s="254"/>
      <c r="N57" s="138"/>
    </row>
    <row r="58" spans="3:14">
      <c r="E58" s="91"/>
      <c r="F58" s="91"/>
      <c r="G58" s="91"/>
      <c r="N58" s="138"/>
    </row>
    <row r="59" spans="3:14">
      <c r="E59" s="91"/>
      <c r="F59" s="91"/>
      <c r="G59" s="91"/>
      <c r="H59" s="91">
        <f>G57</f>
        <v>0</v>
      </c>
      <c r="N59" s="138"/>
    </row>
    <row r="60" spans="3:14">
      <c r="D60" s="132"/>
      <c r="E60" s="132"/>
      <c r="F60" s="132"/>
      <c r="G60" s="133"/>
      <c r="H60" s="133"/>
      <c r="I60" s="133"/>
      <c r="N60" s="138"/>
    </row>
    <row r="61" spans="3:14">
      <c r="D61" s="132"/>
      <c r="E61" s="132"/>
      <c r="F61" s="132"/>
      <c r="G61" s="133"/>
      <c r="H61" s="133"/>
      <c r="I61" s="133"/>
      <c r="N61" s="138"/>
    </row>
    <row r="62" spans="3:14">
      <c r="D62" s="132"/>
      <c r="E62" s="132"/>
      <c r="F62" s="132"/>
      <c r="G62" s="133"/>
      <c r="H62" s="133"/>
      <c r="I62" s="133"/>
    </row>
    <row r="63" spans="3:14">
      <c r="D63" s="132"/>
      <c r="E63" s="132"/>
      <c r="F63" s="132"/>
      <c r="G63" s="133"/>
      <c r="H63" s="133"/>
      <c r="I63" s="133"/>
    </row>
    <row r="64" spans="3:14">
      <c r="F64" s="132"/>
      <c r="G64" s="133"/>
      <c r="H64" s="133"/>
      <c r="I64" s="133"/>
    </row>
    <row r="67" spans="3:3">
      <c r="C67" s="91" t="s">
        <v>141</v>
      </c>
    </row>
    <row r="68" spans="3:3">
      <c r="C68" t="s">
        <v>66</v>
      </c>
    </row>
    <row r="69" spans="3:3">
      <c r="C69" s="91"/>
    </row>
  </sheetData>
  <mergeCells count="12">
    <mergeCell ref="D56:F56"/>
    <mergeCell ref="A6:N6"/>
    <mergeCell ref="C7:D7"/>
    <mergeCell ref="M7:O7"/>
    <mergeCell ref="C8:D8"/>
    <mergeCell ref="M8:O8"/>
    <mergeCell ref="G32:H32"/>
    <mergeCell ref="G34:H34"/>
    <mergeCell ref="G36:H36"/>
    <mergeCell ref="G38:H38"/>
    <mergeCell ref="G39:H39"/>
    <mergeCell ref="B41:N41"/>
  </mergeCells>
  <conditionalFormatting sqref="C17:D17 N17:N31">
    <cfRule type="expression" dxfId="84" priority="10">
      <formula>ISNUMBER(SEARCH(TEXT($C17,"ddd"),$G$10))</formula>
    </cfRule>
  </conditionalFormatting>
  <conditionalFormatting sqref="C18:D31">
    <cfRule type="expression" dxfId="83" priority="11">
      <formula>ISNUMBER(SEARCH(TEXT($C18,"ddd"),$G$11))</formula>
    </cfRule>
  </conditionalFormatting>
  <conditionalFormatting sqref="C51:N52">
    <cfRule type="expression" dxfId="82" priority="1">
      <formula>ISNUMBER(SEARCH(TEXT($C51,"ddd"),$G$11))</formula>
    </cfRule>
  </conditionalFormatting>
  <conditionalFormatting sqref="E17:K31">
    <cfRule type="expression" dxfId="81" priority="3">
      <formula>ISNUMBER(SEARCH(TEXT($C17,"ddd"),$G$11))</formula>
    </cfRule>
  </conditionalFormatting>
  <dataValidations count="5">
    <dataValidation type="list" allowBlank="1" showInputMessage="1" showErrorMessage="1" sqref="D11 H45" xr:uid="{00000000-0002-0000-2B00-000000000000}">
      <formula1>DateCalc</formula1>
    </dataValidation>
    <dataValidation type="custom" allowBlank="1" showInputMessage="1" showErrorMessage="1" sqref="H17:H31 H51:H52" xr:uid="{00000000-0002-0000-2B00-000001000000}">
      <formula1>AND($H17&lt;=1,ISNUMBER($H17),($H17&gt;=$G17))</formula1>
    </dataValidation>
    <dataValidation type="custom" allowBlank="1" showInputMessage="1" showErrorMessage="1" sqref="E17:G31 G51:G52" xr:uid="{00000000-0002-0000-2B00-000002000000}">
      <formula1>AND($G17&lt;=1,ISNUMBER($G17))</formula1>
    </dataValidation>
    <dataValidation type="list" allowBlank="1" showInputMessage="1" showErrorMessage="1" sqref="E11:F11" xr:uid="{00000000-0002-0000-2B00-000003000000}">
      <formula1>GABO!DateCalc</formula1>
    </dataValidation>
    <dataValidation type="list" allowBlank="1" showInputMessage="1" showErrorMessage="1" sqref="G11" xr:uid="{00000000-0002-0000-2B00-000006000000}"/>
  </dataValidations>
  <pageMargins left="1.07083333333333" right="0.25" top="0.24645833333333333" bottom="0.29385416666666669" header="0.29861111111111099" footer="0.29861111111111099"/>
  <pageSetup paperSize="9" scale="91" orientation="landscape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04833" r:id="rId4" name="Check Box 1">
              <controlPr defaultSize="0" print="0" autoPict="0">
                <anchor moveWithCells="1">
                  <from>
                    <xdr:col>7</xdr:col>
                    <xdr:colOff>180975</xdr:colOff>
                    <xdr:row>9</xdr:row>
                    <xdr:rowOff>28575</xdr:rowOff>
                  </from>
                  <to>
                    <xdr:col>8</xdr:col>
                    <xdr:colOff>571500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2B00-000004000000}">
          <x14:formula1>
            <xm:f>Data!$A$2:$A$12</xm:f>
          </x14:formula1>
          <xm:sqref>B11 D45:F45</xm:sqref>
        </x14:dataValidation>
        <x14:dataValidation type="list" allowBlank="1" showInputMessage="1" showErrorMessage="1" xr:uid="{00000000-0002-0000-2B00-000005000000}">
          <x14:formula1>
            <xm:f>Data!$B$2:$B$13</xm:f>
          </x14:formula1>
          <xm:sqref>C11 G45</xm:sqref>
        </x14:dataValidation>
        <x14:dataValidation type="list" allowBlank="1" showInputMessage="1" showErrorMessage="1" xr:uid="{00000000-0002-0000-2B00-000007000000}">
          <x14:formula1>
            <xm:f>Data!$D$2:$D$16</xm:f>
          </x14:formula1>
          <xm:sqref>I45</xm:sqref>
        </x14:dataValidation>
      </x14:dataValidation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5:AH72"/>
  <sheetViews>
    <sheetView showGridLines="0" view="pageLayout" topLeftCell="A15" zoomScaleNormal="100" workbookViewId="0">
      <selection activeCell="L25" sqref="L25"/>
    </sheetView>
  </sheetViews>
  <sheetFormatPr defaultColWidth="9" defaultRowHeight="12.75"/>
  <cols>
    <col min="1" max="1" width="1.625" customWidth="1"/>
    <col min="2" max="2" width="5.375" customWidth="1"/>
    <col min="3" max="3" width="7.125" customWidth="1"/>
    <col min="4" max="6" width="7.625" customWidth="1"/>
    <col min="7" max="7" width="10.125" customWidth="1"/>
    <col min="8" max="8" width="9.625" customWidth="1"/>
    <col min="9" max="9" width="8.125" customWidth="1"/>
    <col min="10" max="10" width="10.125" customWidth="1"/>
    <col min="11" max="11" width="7.875" customWidth="1"/>
    <col min="12" max="12" width="10.125" customWidth="1"/>
    <col min="13" max="13" width="10.375" customWidth="1"/>
    <col min="14" max="14" width="10.875" customWidth="1"/>
    <col min="15" max="15" width="16.875" customWidth="1"/>
    <col min="18" max="18" width="11.125" customWidth="1"/>
  </cols>
  <sheetData>
    <row r="5" spans="1:21" ht="25.5" customHeight="1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21" s="47" customFormat="1" ht="25.5" customHeight="1">
      <c r="A6" s="603"/>
      <c r="B6" s="603"/>
      <c r="C6" s="603"/>
      <c r="D6" s="603"/>
      <c r="E6" s="603"/>
      <c r="F6" s="603"/>
      <c r="G6" s="603"/>
      <c r="H6" s="603"/>
      <c r="I6" s="603"/>
      <c r="J6" s="603"/>
      <c r="K6" s="603"/>
      <c r="L6" s="603"/>
      <c r="M6" s="603"/>
      <c r="N6" s="603"/>
    </row>
    <row r="7" spans="1:21" ht="18.75" customHeight="1">
      <c r="C7" s="527" t="s">
        <v>3</v>
      </c>
      <c r="D7" s="527"/>
      <c r="E7" s="49"/>
      <c r="F7" s="49"/>
      <c r="G7" s="50" t="s">
        <v>357</v>
      </c>
      <c r="H7" s="51"/>
      <c r="K7" s="49" t="s">
        <v>174</v>
      </c>
      <c r="M7" s="599" t="str">
        <f>PAALAN!L7</f>
        <v>September  11-25, 2026</v>
      </c>
      <c r="N7" s="599"/>
      <c r="O7" s="599"/>
    </row>
    <row r="8" spans="1:21" ht="18.75" customHeight="1">
      <c r="C8" s="527" t="s">
        <v>175</v>
      </c>
      <c r="D8" s="527"/>
      <c r="E8" s="49"/>
      <c r="F8" s="49"/>
      <c r="G8" s="50" t="s">
        <v>358</v>
      </c>
      <c r="H8" s="51"/>
      <c r="K8" s="49" t="s">
        <v>176</v>
      </c>
      <c r="L8" s="92"/>
      <c r="M8" s="600" t="str">
        <f>PAALAN!L8</f>
        <v>9/31/2026</v>
      </c>
      <c r="N8" s="600"/>
      <c r="O8" s="600"/>
    </row>
    <row r="9" spans="1:21">
      <c r="C9" s="52"/>
      <c r="D9" s="53"/>
      <c r="E9" s="53"/>
      <c r="F9" s="53"/>
      <c r="G9" s="53"/>
    </row>
    <row r="10" spans="1:21">
      <c r="B10" s="54" t="s">
        <v>10</v>
      </c>
      <c r="C10" s="54" t="s">
        <v>11</v>
      </c>
      <c r="D10" s="54" t="s">
        <v>12</v>
      </c>
      <c r="E10" s="54"/>
      <c r="F10" s="54"/>
      <c r="G10" s="55" t="s">
        <v>13</v>
      </c>
    </row>
    <row r="11" spans="1:21">
      <c r="B11" s="56">
        <v>2025</v>
      </c>
      <c r="C11" s="56" t="s">
        <v>29</v>
      </c>
      <c r="D11" s="56">
        <v>11</v>
      </c>
      <c r="E11" s="56"/>
      <c r="F11" s="56"/>
      <c r="G11" s="56" t="s">
        <v>178</v>
      </c>
    </row>
    <row r="12" spans="1:21">
      <c r="B12" s="57"/>
      <c r="C12" s="57"/>
      <c r="H12" s="57"/>
      <c r="K12" s="57"/>
      <c r="L12" s="57"/>
      <c r="M12" s="57"/>
    </row>
    <row r="13" spans="1:21" ht="32.1" customHeight="1">
      <c r="B13" s="159" t="s">
        <v>16</v>
      </c>
      <c r="C13" s="159" t="s">
        <v>17</v>
      </c>
      <c r="D13" s="159" t="s">
        <v>18</v>
      </c>
      <c r="E13" s="160"/>
      <c r="F13" s="160"/>
      <c r="G13" s="160" t="s">
        <v>19</v>
      </c>
      <c r="H13" s="161" t="s">
        <v>179</v>
      </c>
      <c r="L13" s="93"/>
      <c r="M13" s="93"/>
      <c r="N13" s="94"/>
      <c r="O13" s="159" t="s">
        <v>16</v>
      </c>
      <c r="P13" s="159" t="s">
        <v>17</v>
      </c>
      <c r="Q13" s="159" t="s">
        <v>18</v>
      </c>
      <c r="R13" s="160"/>
      <c r="S13" s="160"/>
      <c r="T13" s="160" t="s">
        <v>19</v>
      </c>
      <c r="U13" s="161" t="s">
        <v>179</v>
      </c>
    </row>
    <row r="14" spans="1:21">
      <c r="B14" s="61">
        <v>0.33333333333333298</v>
      </c>
      <c r="C14" s="62">
        <v>10</v>
      </c>
      <c r="D14" s="63">
        <f>(13000/26)/8</f>
        <v>62.5</v>
      </c>
      <c r="E14" s="142"/>
      <c r="F14" s="142"/>
      <c r="G14" s="64">
        <f>(D14*25%)+D14</f>
        <v>78.125</v>
      </c>
      <c r="H14" s="65">
        <v>18</v>
      </c>
      <c r="I14" s="95"/>
      <c r="L14" s="398"/>
      <c r="M14" s="399"/>
      <c r="N14" s="400"/>
      <c r="O14" s="61">
        <v>0.375</v>
      </c>
      <c r="P14" s="62">
        <v>3</v>
      </c>
      <c r="Q14" s="63">
        <f>(14555.32/26)/8</f>
        <v>69.977499999999992</v>
      </c>
      <c r="R14" s="142"/>
      <c r="S14" s="142"/>
      <c r="T14" s="64">
        <f>(Q14*25%)+Q14</f>
        <v>87.471874999999983</v>
      </c>
      <c r="U14" s="65">
        <v>87</v>
      </c>
    </row>
    <row r="15" spans="1:21">
      <c r="N15" s="96"/>
    </row>
    <row r="16" spans="1:21" ht="23.25">
      <c r="B16" s="66"/>
      <c r="C16" s="67" t="s">
        <v>20</v>
      </c>
      <c r="D16" s="67" t="s">
        <v>12</v>
      </c>
      <c r="E16" s="67"/>
      <c r="F16" s="67"/>
      <c r="G16" s="67" t="s">
        <v>21</v>
      </c>
      <c r="H16" s="67" t="s">
        <v>22</v>
      </c>
      <c r="I16" s="68" t="s">
        <v>23</v>
      </c>
      <c r="J16" s="68" t="s">
        <v>24</v>
      </c>
      <c r="K16" s="68" t="s">
        <v>25</v>
      </c>
      <c r="L16" s="67" t="s">
        <v>180</v>
      </c>
      <c r="M16" s="134" t="s">
        <v>181</v>
      </c>
      <c r="N16" s="67" t="s">
        <v>26</v>
      </c>
    </row>
    <row r="17" spans="2:34">
      <c r="B17" s="69">
        <v>1</v>
      </c>
      <c r="C17" s="70">
        <f>DATE($B$11,MATCH($C$11,Data!$B$2:$B$13,0),ORBISO!$D$11)</f>
        <v>45758</v>
      </c>
      <c r="D17" s="71">
        <f>DATE($B$11,MATCH($C$11,Data!$B$2:$B$13,0),ORBISO!$D$11)</f>
        <v>45758</v>
      </c>
      <c r="E17" s="72">
        <v>0</v>
      </c>
      <c r="F17" s="72">
        <v>0</v>
      </c>
      <c r="G17" s="72">
        <f t="shared" ref="G17:G32" si="0">E17-F17</f>
        <v>0</v>
      </c>
      <c r="H17" s="72">
        <v>0</v>
      </c>
      <c r="I17" s="73">
        <v>0</v>
      </c>
      <c r="J17" s="73">
        <f t="shared" ref="J17:J32" si="1">IFERROR(IF(AND(G17&lt;&gt;"",H17&lt;&gt;""),IF(G17&gt;$B$14+TIME($C$14,($C$14-INT($C$14))*60,0),0,IF(H17&gt;$B$14+TIME($C$14,($C$14-INT($C$14))*60,0),MIN(TIME($C$14,($C$14-INT($C$14))*60,0),($B$14+TIME($C$14,($C$14-INT($C$14))*60,0)-G17)),MIN(IF((H17-$B$14)&lt;0,0,(H17-$B$14)),(H17-G17))))*24,"")-I17,"")</f>
        <v>0</v>
      </c>
      <c r="K17" s="73">
        <f t="shared" ref="K17:K22" si="2">IF(AND(G17&lt;&gt;"",H17&lt;&gt;""),((IF(G17&lt;$B$14,MIN($B$14-G17,H17-G17),0)+IF(H17&gt;$B$14+TIME($C$14,($C$14-INT($C$14))*60,0),MIN((H17-$B$14-TIME($C$14,($C$14-INT($C$14))*60,0)),(H17-G17)),0))*24),"")</f>
        <v>0</v>
      </c>
      <c r="L17" s="101">
        <v>0</v>
      </c>
      <c r="M17" s="102">
        <f>(D14/60)*0</f>
        <v>0</v>
      </c>
      <c r="N17" s="99">
        <f>IFERROR(J17*IF(AND(ISNUMBER(SEARCH(TEXT(C17,"ddd"),$G$11)),Data!$F$2),$G$14,$D$14)+K17*$G$14,"")</f>
        <v>0</v>
      </c>
      <c r="O17" s="141">
        <f t="shared" ref="O17:O30" si="3">M17+N17</f>
        <v>0</v>
      </c>
      <c r="P17" s="100"/>
      <c r="Q17" s="89"/>
    </row>
    <row r="18" spans="2:34">
      <c r="B18" s="69">
        <v>2</v>
      </c>
      <c r="C18" s="70">
        <f t="shared" ref="C18:D32" si="4">C17+1</f>
        <v>45759</v>
      </c>
      <c r="D18" s="71">
        <f t="shared" si="4"/>
        <v>45759</v>
      </c>
      <c r="E18" s="72">
        <v>0</v>
      </c>
      <c r="F18" s="72">
        <v>0</v>
      </c>
      <c r="G18" s="72">
        <f t="shared" si="0"/>
        <v>0</v>
      </c>
      <c r="H18" s="72">
        <v>0</v>
      </c>
      <c r="I18" s="73">
        <v>0</v>
      </c>
      <c r="J18" s="73">
        <f t="shared" si="1"/>
        <v>0</v>
      </c>
      <c r="K18" s="73">
        <f t="shared" si="2"/>
        <v>0</v>
      </c>
      <c r="L18" s="101">
        <v>0</v>
      </c>
      <c r="M18" s="102">
        <f>(D14/60)*0</f>
        <v>0</v>
      </c>
      <c r="N18" s="111">
        <f>IFERROR(J18*IF(AND(ISNUMBER(SEARCH(TEXT(C18,"ddd"),$G$11)),Data!$F$2),$G$14,$D$14)+K18*$G$14,"")</f>
        <v>0</v>
      </c>
      <c r="O18" s="141">
        <f t="shared" si="3"/>
        <v>0</v>
      </c>
      <c r="P18" s="89"/>
      <c r="Q18" s="89"/>
    </row>
    <row r="19" spans="2:34">
      <c r="B19" s="69"/>
      <c r="C19" s="70">
        <f t="shared" si="4"/>
        <v>45760</v>
      </c>
      <c r="D19" s="71">
        <f t="shared" si="4"/>
        <v>45760</v>
      </c>
      <c r="E19" s="72">
        <v>0</v>
      </c>
      <c r="F19" s="72">
        <v>0</v>
      </c>
      <c r="G19" s="72">
        <f t="shared" si="0"/>
        <v>0</v>
      </c>
      <c r="H19" s="72">
        <v>0</v>
      </c>
      <c r="I19" s="73">
        <v>0</v>
      </c>
      <c r="J19" s="73">
        <f t="shared" si="1"/>
        <v>0</v>
      </c>
      <c r="K19" s="73">
        <f t="shared" si="2"/>
        <v>0</v>
      </c>
      <c r="L19" s="97">
        <v>0</v>
      </c>
      <c r="M19" s="98">
        <f>(D14/60)*0</f>
        <v>0</v>
      </c>
      <c r="N19" s="251">
        <f>IFERROR(J19*IF(AND(ISNUMBER(SEARCH(TEXT(C19,"ddd"),$G$11)),Data!$F$2),$G$14,$D$14)+K19*$G$14,"")</f>
        <v>0</v>
      </c>
      <c r="O19" s="141">
        <f t="shared" si="3"/>
        <v>0</v>
      </c>
      <c r="P19" s="100"/>
      <c r="Q19" s="104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</row>
    <row r="20" spans="2:34">
      <c r="B20" s="69">
        <v>3</v>
      </c>
      <c r="C20" s="70">
        <f t="shared" si="4"/>
        <v>45761</v>
      </c>
      <c r="D20" s="71">
        <f t="shared" si="4"/>
        <v>45761</v>
      </c>
      <c r="E20" s="72">
        <v>0.34027777777777773</v>
      </c>
      <c r="F20" s="72">
        <v>6.9444444444444441E-3</v>
      </c>
      <c r="G20" s="72">
        <f t="shared" si="0"/>
        <v>0.33333333333333331</v>
      </c>
      <c r="H20" s="72">
        <v>0.75</v>
      </c>
      <c r="I20" s="73">
        <v>1</v>
      </c>
      <c r="J20" s="73">
        <f t="shared" si="1"/>
        <v>9</v>
      </c>
      <c r="K20" s="73">
        <f t="shared" si="2"/>
        <v>0</v>
      </c>
      <c r="L20" s="101">
        <v>0</v>
      </c>
      <c r="M20" s="102">
        <f>(D14/60)*0</f>
        <v>0</v>
      </c>
      <c r="N20" s="99">
        <f>IFERROR(J20*IF(AND(ISNUMBER(SEARCH(TEXT(C20,"ddd"),$G$11)),Data!$F$2),$G$14,$D$14)+K20*$G$14,"")</f>
        <v>562.5</v>
      </c>
      <c r="O20" s="141">
        <f t="shared" si="3"/>
        <v>562.5</v>
      </c>
      <c r="P20" s="103"/>
      <c r="Q20" s="103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28"/>
    </row>
    <row r="21" spans="2:34">
      <c r="B21" s="69">
        <v>4</v>
      </c>
      <c r="C21" s="70">
        <f t="shared" si="4"/>
        <v>45762</v>
      </c>
      <c r="D21" s="71">
        <f t="shared" si="4"/>
        <v>45762</v>
      </c>
      <c r="E21" s="72">
        <v>0.34027777777777773</v>
      </c>
      <c r="F21" s="72">
        <v>6.9444444444444441E-3</v>
      </c>
      <c r="G21" s="72">
        <f>E21-F21</f>
        <v>0.33333333333333331</v>
      </c>
      <c r="H21" s="72">
        <v>0.75</v>
      </c>
      <c r="I21" s="73">
        <v>1</v>
      </c>
      <c r="J21" s="73">
        <f>IFERROR(IF(AND(G21&lt;&gt;"",H21&lt;&gt;""),IF(G21&gt;$B$14+TIME($C$14,($C$14-INT($C$14))*60,0),0,IF(H21&gt;$B$14+TIME($C$14,($C$14-INT($C$14))*60,0),MIN(TIME($C$14,($C$14-INT($C$14))*60,0),($B$14+TIME($C$14,($C$14-INT($C$14))*60,0)-G21)),MIN(IF((H21-$B$14)&lt;0,0,(H21-$B$14)),(H21-G21))))*24,"")-I21,"")</f>
        <v>9</v>
      </c>
      <c r="K21" s="73">
        <f>IF(AND(G21&lt;&gt;"",H21&lt;&gt;""),((IF(G21&lt;$B$14,MIN($B$14-G21,H21-G21),0)+IF(H21&gt;$B$14+TIME($C$14,($C$14-INT($C$14))*60,0),MIN((H21-$B$14-TIME($C$14,($C$14-INT($C$14))*60,0)),(H21-G21)),0))*24),"")</f>
        <v>0</v>
      </c>
      <c r="L21" s="101">
        <v>0</v>
      </c>
      <c r="M21" s="102">
        <f>(D14/60)*0</f>
        <v>0</v>
      </c>
      <c r="N21" s="111">
        <f>IFERROR(J21*IF(AND(ISNUMBER(SEARCH(TEXT(C21,"ddd"),$G$11)),Data!$F$2),$G$14,$D$14)+K21*$G$14,"")</f>
        <v>562.5</v>
      </c>
      <c r="O21" s="141">
        <f>M21+N21</f>
        <v>562.5</v>
      </c>
      <c r="P21" s="162"/>
      <c r="Q21" s="108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4"/>
    </row>
    <row r="22" spans="2:34">
      <c r="B22" s="69">
        <v>5</v>
      </c>
      <c r="C22" s="70">
        <f t="shared" si="4"/>
        <v>45763</v>
      </c>
      <c r="D22" s="71">
        <f t="shared" si="4"/>
        <v>45763</v>
      </c>
      <c r="E22" s="72">
        <v>0</v>
      </c>
      <c r="F22" s="72">
        <v>0</v>
      </c>
      <c r="G22" s="72">
        <f t="shared" si="0"/>
        <v>0</v>
      </c>
      <c r="H22" s="72">
        <v>0</v>
      </c>
      <c r="I22" s="73">
        <v>0</v>
      </c>
      <c r="J22" s="73">
        <f t="shared" si="1"/>
        <v>0</v>
      </c>
      <c r="K22" s="73">
        <f t="shared" si="2"/>
        <v>0</v>
      </c>
      <c r="L22" s="101">
        <v>0</v>
      </c>
      <c r="M22" s="102">
        <f>(D14/60)*0</f>
        <v>0</v>
      </c>
      <c r="N22" s="111">
        <f>IFERROR(J22*IF(AND(ISNUMBER(SEARCH(TEXT(C22,"ddd"),$G$11)),Data!$F$2),$G$14,$D$14)+K22*$G$14,"")</f>
        <v>0</v>
      </c>
      <c r="O22" s="141">
        <f t="shared" si="3"/>
        <v>0</v>
      </c>
      <c r="P22" s="163">
        <f>O21-O22</f>
        <v>562.5</v>
      </c>
      <c r="Q22" s="135"/>
      <c r="R22" s="96">
        <v>0.40486111111111101</v>
      </c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4"/>
    </row>
    <row r="23" spans="2:34">
      <c r="B23" s="69">
        <v>6</v>
      </c>
      <c r="C23" s="70">
        <f t="shared" si="4"/>
        <v>45764</v>
      </c>
      <c r="D23" s="71">
        <f t="shared" si="4"/>
        <v>45764</v>
      </c>
      <c r="E23" s="72">
        <v>0</v>
      </c>
      <c r="F23" s="72">
        <v>0</v>
      </c>
      <c r="G23" s="72">
        <f>E23-F23</f>
        <v>0</v>
      </c>
      <c r="H23" s="72">
        <v>0</v>
      </c>
      <c r="I23" s="73">
        <v>0</v>
      </c>
      <c r="J23" s="73">
        <f>IFERROR(IF(AND(G23&lt;&gt;"",H23&lt;&gt;""),IF(G23&gt;$B$14+TIME($C$14,($C$14-INT($C$14))*60,0),0,IF(H23&gt;$B$14+TIME($C$14,($C$14-INT($C$14))*60,0),MIN(TIME($C$14,($C$14-INT($C$14))*60,0),($B$14+TIME($C$14,($C$14-INT($C$14))*60,0)-G23)),MIN(IF((H23-$B$14)&lt;0,0,(H23-$B$14)),(H23-G23))))*24,"")-I23,"")</f>
        <v>0</v>
      </c>
      <c r="K23" s="73">
        <f>IF(AND(G23&lt;&gt;"",H23&lt;&gt;""),((IF(G23&lt;$B$14,MIN($B$14-G23,H23-G23),0)+IF(H23&gt;$B$14+TIME($C$14,($C$14-INT($C$14))*60,0),MIN((H23-$B$14-TIME($C$14,($C$14-INT($C$14))*60,0)),(H23-G23)),0))*24),"")</f>
        <v>0</v>
      </c>
      <c r="L23" s="101">
        <v>0</v>
      </c>
      <c r="M23" s="102">
        <f>(D14/60)*0</f>
        <v>0</v>
      </c>
      <c r="N23" s="111">
        <f>IFERROR(J23*IF(AND(ISNUMBER(SEARCH(TEXT(C23,"ddd"),$G$11)),Data!$F$2),$G$14,$D$14)+K23*$G$14,"")</f>
        <v>0</v>
      </c>
      <c r="O23" s="141">
        <f>M23+N23</f>
        <v>0</v>
      </c>
      <c r="P23" s="150"/>
      <c r="Q23" s="89"/>
      <c r="R23" s="96">
        <v>1.0416666666666701E-2</v>
      </c>
    </row>
    <row r="24" spans="2:34">
      <c r="B24" s="69">
        <v>7</v>
      </c>
      <c r="C24" s="70">
        <f t="shared" si="4"/>
        <v>45765</v>
      </c>
      <c r="D24" s="71">
        <f t="shared" si="4"/>
        <v>45765</v>
      </c>
      <c r="E24" s="72">
        <v>0</v>
      </c>
      <c r="F24" s="72">
        <v>0</v>
      </c>
      <c r="G24" s="72">
        <f t="shared" si="0"/>
        <v>0</v>
      </c>
      <c r="H24" s="72">
        <v>0</v>
      </c>
      <c r="I24" s="73">
        <v>0</v>
      </c>
      <c r="J24" s="73">
        <f t="shared" si="1"/>
        <v>0</v>
      </c>
      <c r="K24" s="73">
        <v>0</v>
      </c>
      <c r="L24" s="101">
        <v>0</v>
      </c>
      <c r="M24" s="102">
        <f>(D14/60)*0</f>
        <v>0</v>
      </c>
      <c r="N24" s="99">
        <f>IFERROR(J24*IF(AND(ISNUMBER(SEARCH(TEXT(C24,"ddd"),$G$11)),Data!$F$2),$G$14,$D$14)+K24*$G$14,"")</f>
        <v>0</v>
      </c>
      <c r="O24" s="141">
        <f t="shared" si="3"/>
        <v>0</v>
      </c>
      <c r="P24" s="155"/>
      <c r="Q24" s="89"/>
      <c r="R24" s="129">
        <f>R22-R23</f>
        <v>0.39444444444444432</v>
      </c>
    </row>
    <row r="25" spans="2:34">
      <c r="B25" s="69">
        <v>8</v>
      </c>
      <c r="C25" s="70">
        <f t="shared" si="4"/>
        <v>45766</v>
      </c>
      <c r="D25" s="71">
        <f t="shared" si="4"/>
        <v>45766</v>
      </c>
      <c r="E25" s="72">
        <v>0</v>
      </c>
      <c r="F25" s="72">
        <v>0</v>
      </c>
      <c r="G25" s="72">
        <f t="shared" si="0"/>
        <v>0</v>
      </c>
      <c r="H25" s="72">
        <v>0</v>
      </c>
      <c r="I25" s="73">
        <v>0</v>
      </c>
      <c r="J25" s="73">
        <f t="shared" si="1"/>
        <v>0</v>
      </c>
      <c r="K25" s="73">
        <f t="shared" ref="K25:K32" si="5">IF(AND(G25&lt;&gt;"",H25&lt;&gt;""),((IF(G25&lt;$B$14,MIN($B$14-G25,H25-G25),0)+IF(H25&gt;$B$14+TIME($C$14,($C$14-INT($C$14))*60,0),MIN((H25-$B$14-TIME($C$14,($C$14-INT($C$14))*60,0)),(H25-G25)),0))*24),"")</f>
        <v>0</v>
      </c>
      <c r="L25" s="101">
        <v>0</v>
      </c>
      <c r="M25" s="102">
        <f>(D14/60)*0</f>
        <v>0</v>
      </c>
      <c r="N25" s="111">
        <f>IFERROR(J25*IF(AND(ISNUMBER(SEARCH(TEXT(C25,"ddd"),$G$11)),Data!$F$2),$G$14,$D$14)+K25*$G$14,"")</f>
        <v>0</v>
      </c>
      <c r="O25" s="141">
        <f t="shared" si="3"/>
        <v>0</v>
      </c>
      <c r="P25" s="89"/>
      <c r="Q25" s="89"/>
    </row>
    <row r="26" spans="2:34">
      <c r="B26" s="69"/>
      <c r="C26" s="70">
        <f t="shared" si="4"/>
        <v>45767</v>
      </c>
      <c r="D26" s="71">
        <f t="shared" si="4"/>
        <v>45767</v>
      </c>
      <c r="E26" s="72">
        <v>0</v>
      </c>
      <c r="F26" s="72">
        <v>0</v>
      </c>
      <c r="G26" s="72">
        <f t="shared" si="0"/>
        <v>0</v>
      </c>
      <c r="H26" s="72">
        <v>0</v>
      </c>
      <c r="I26" s="73">
        <v>0</v>
      </c>
      <c r="J26" s="73">
        <f t="shared" si="1"/>
        <v>0</v>
      </c>
      <c r="K26" s="73">
        <f t="shared" si="5"/>
        <v>0</v>
      </c>
      <c r="L26" s="97">
        <v>0</v>
      </c>
      <c r="M26" s="98">
        <f>(D14/60)*0</f>
        <v>0</v>
      </c>
      <c r="N26" s="251">
        <f>IFERROR(J26*IF(AND(ISNUMBER(SEARCH(TEXT(C26,"ddd"),$G$11)),Data!$F$2),$G$14,$D$14)+K26*$G$14,"")</f>
        <v>0</v>
      </c>
      <c r="O26" s="141">
        <f t="shared" si="3"/>
        <v>0</v>
      </c>
      <c r="P26" s="89"/>
      <c r="Q26" s="89"/>
    </row>
    <row r="27" spans="2:34">
      <c r="B27" s="69">
        <v>9</v>
      </c>
      <c r="C27" s="70">
        <f t="shared" si="4"/>
        <v>45768</v>
      </c>
      <c r="D27" s="71">
        <f t="shared" si="4"/>
        <v>45768</v>
      </c>
      <c r="E27" s="72">
        <v>0</v>
      </c>
      <c r="F27" s="72">
        <v>0</v>
      </c>
      <c r="G27" s="72">
        <f t="shared" si="0"/>
        <v>0</v>
      </c>
      <c r="H27" s="72">
        <v>0</v>
      </c>
      <c r="I27" s="73">
        <v>0</v>
      </c>
      <c r="J27" s="73">
        <f t="shared" si="1"/>
        <v>0</v>
      </c>
      <c r="K27" s="73">
        <f t="shared" si="5"/>
        <v>0</v>
      </c>
      <c r="L27" s="101">
        <v>0</v>
      </c>
      <c r="M27" s="102">
        <f>(D14/60)*0</f>
        <v>0</v>
      </c>
      <c r="N27" s="99">
        <f>IFERROR(J27*IF(AND(ISNUMBER(SEARCH(TEXT(C27,"ddd"),$G$11)),Data!$F$2),$G$14,$D$14)+K27*$G$14,"")</f>
        <v>0</v>
      </c>
      <c r="O27" s="141">
        <f t="shared" si="3"/>
        <v>0</v>
      </c>
      <c r="P27" s="127"/>
      <c r="Q27" s="89"/>
    </row>
    <row r="28" spans="2:34">
      <c r="B28" s="69">
        <v>10</v>
      </c>
      <c r="C28" s="70">
        <f t="shared" si="4"/>
        <v>45769</v>
      </c>
      <c r="D28" s="71">
        <f t="shared" si="4"/>
        <v>45769</v>
      </c>
      <c r="E28" s="72">
        <v>0</v>
      </c>
      <c r="F28" s="72">
        <v>0</v>
      </c>
      <c r="G28" s="72">
        <f t="shared" si="0"/>
        <v>0</v>
      </c>
      <c r="H28" s="72">
        <v>0</v>
      </c>
      <c r="I28" s="73">
        <v>0</v>
      </c>
      <c r="J28" s="73">
        <f t="shared" si="1"/>
        <v>0</v>
      </c>
      <c r="K28" s="73">
        <f t="shared" si="5"/>
        <v>0</v>
      </c>
      <c r="L28" s="101">
        <v>0</v>
      </c>
      <c r="M28" s="102">
        <f>(D14/60)*0</f>
        <v>0</v>
      </c>
      <c r="N28" s="111">
        <f>IFERROR(J28*IF(AND(ISNUMBER(SEARCH(TEXT(C28,"ddd"),$G$11)),Data!$F$2),$G$14,$D$14)+K28*$G$14,"")</f>
        <v>0</v>
      </c>
      <c r="O28" s="141">
        <f t="shared" si="3"/>
        <v>0</v>
      </c>
      <c r="Q28" s="89"/>
    </row>
    <row r="29" spans="2:34">
      <c r="B29" s="69">
        <v>11</v>
      </c>
      <c r="C29" s="70">
        <f t="shared" si="4"/>
        <v>45770</v>
      </c>
      <c r="D29" s="71">
        <f t="shared" si="4"/>
        <v>45770</v>
      </c>
      <c r="E29" s="72">
        <v>0</v>
      </c>
      <c r="F29" s="72">
        <v>0</v>
      </c>
      <c r="G29" s="72">
        <f t="shared" si="0"/>
        <v>0</v>
      </c>
      <c r="H29" s="72">
        <v>0</v>
      </c>
      <c r="I29" s="73">
        <v>0</v>
      </c>
      <c r="J29" s="73">
        <f t="shared" si="1"/>
        <v>0</v>
      </c>
      <c r="K29" s="73">
        <f t="shared" si="5"/>
        <v>0</v>
      </c>
      <c r="L29" s="101">
        <v>0</v>
      </c>
      <c r="M29" s="102">
        <f>(D14/60)*0</f>
        <v>0</v>
      </c>
      <c r="N29" s="111">
        <f>IFERROR(J29*IF(AND(ISNUMBER(SEARCH(TEXT(C29,"ddd"),$G$11)),Data!$F$2),$G$14,$D$14)+K29*$G$14,"")</f>
        <v>0</v>
      </c>
      <c r="O29" s="141">
        <f>M29+N29</f>
        <v>0</v>
      </c>
      <c r="P29" s="95">
        <f>O28-O29</f>
        <v>0</v>
      </c>
      <c r="Q29" s="89"/>
    </row>
    <row r="30" spans="2:34">
      <c r="B30" s="69">
        <v>12</v>
      </c>
      <c r="C30" s="70">
        <f t="shared" si="4"/>
        <v>45771</v>
      </c>
      <c r="D30" s="71">
        <f t="shared" si="4"/>
        <v>45771</v>
      </c>
      <c r="E30" s="72">
        <v>0</v>
      </c>
      <c r="F30" s="72">
        <v>0</v>
      </c>
      <c r="G30" s="72">
        <f>E30-F30</f>
        <v>0</v>
      </c>
      <c r="H30" s="72">
        <v>0</v>
      </c>
      <c r="I30" s="73">
        <v>0</v>
      </c>
      <c r="J30" s="73">
        <f>IFERROR(IF(AND(G30&lt;&gt;"",H30&lt;&gt;""),IF(G30&gt;$B$14+TIME($C$14,($C$14-INT($C$14))*60,0),0,IF(H30&gt;$B$14+TIME($C$14,($C$14-INT($C$14))*60,0),MIN(TIME($C$14,($C$14-INT($C$14))*60,0),($B$14+TIME($C$14,($C$14-INT($C$14))*60,0)-G30)),MIN(IF((H30-$B$14)&lt;0,0,(H30-$B$14)),(H30-G30))))*24,"")-I30,"")</f>
        <v>0</v>
      </c>
      <c r="K30" s="73">
        <f>IF(AND(G30&lt;&gt;"",H30&lt;&gt;""),((IF(G30&lt;$B$14,MIN($B$14-G30,H30-G30),0)+IF(H30&gt;$B$14+TIME($C$14,($C$14-INT($C$14))*60,0),MIN((H30-$B$14-TIME($C$14,($C$14-INT($C$14))*60,0)),(H30-G30)),0))*24),"")</f>
        <v>0</v>
      </c>
      <c r="L30" s="101">
        <v>0</v>
      </c>
      <c r="M30" s="102">
        <f>(D14/60)*0</f>
        <v>0</v>
      </c>
      <c r="N30" s="111">
        <f>IFERROR(J30*IF(AND(ISNUMBER(SEARCH(TEXT(C30,"ddd"),$G$11)),Data!$F$2),$G$14,$D$14)+K30*$G$14,"")</f>
        <v>0</v>
      </c>
      <c r="O30" s="141">
        <f t="shared" si="3"/>
        <v>0</v>
      </c>
      <c r="P30" s="127"/>
      <c r="Q30" s="89"/>
    </row>
    <row r="31" spans="2:34">
      <c r="B31" s="69">
        <v>13</v>
      </c>
      <c r="C31" s="70">
        <f t="shared" si="4"/>
        <v>45772</v>
      </c>
      <c r="D31" s="71">
        <f t="shared" si="4"/>
        <v>45772</v>
      </c>
      <c r="E31" s="72">
        <v>0</v>
      </c>
      <c r="F31" s="72">
        <v>0</v>
      </c>
      <c r="G31" s="72">
        <f t="shared" si="0"/>
        <v>0</v>
      </c>
      <c r="H31" s="72">
        <v>0</v>
      </c>
      <c r="I31" s="73">
        <v>0</v>
      </c>
      <c r="J31" s="73">
        <f t="shared" si="1"/>
        <v>0</v>
      </c>
      <c r="K31" s="73">
        <f t="shared" si="5"/>
        <v>0</v>
      </c>
      <c r="L31" s="101">
        <v>0</v>
      </c>
      <c r="M31" s="102">
        <f>(D14/60)*0</f>
        <v>0</v>
      </c>
      <c r="N31" s="99">
        <f>IFERROR(J31*IF(AND(ISNUMBER(SEARCH(TEXT(C31,"ddd"),$G$11)),Data!$F$2),$G$14,$D$14)+K31*$G$14,"")</f>
        <v>0</v>
      </c>
      <c r="O31" s="141">
        <f>M31+N31</f>
        <v>0</v>
      </c>
      <c r="P31" s="95">
        <f>O28-O31</f>
        <v>0</v>
      </c>
    </row>
    <row r="32" spans="2:34">
      <c r="B32" s="69">
        <v>14</v>
      </c>
      <c r="C32" s="70">
        <f t="shared" si="4"/>
        <v>45773</v>
      </c>
      <c r="D32" s="71">
        <f t="shared" si="4"/>
        <v>45773</v>
      </c>
      <c r="E32" s="72">
        <v>0</v>
      </c>
      <c r="F32" s="72">
        <v>0</v>
      </c>
      <c r="G32" s="72">
        <f t="shared" si="0"/>
        <v>0</v>
      </c>
      <c r="H32" s="72">
        <v>0</v>
      </c>
      <c r="I32" s="73">
        <v>0</v>
      </c>
      <c r="J32" s="73">
        <f t="shared" si="1"/>
        <v>0</v>
      </c>
      <c r="K32" s="73">
        <f t="shared" si="5"/>
        <v>0</v>
      </c>
      <c r="L32" s="101">
        <v>0</v>
      </c>
      <c r="M32" s="102">
        <f>(D15/60)*0</f>
        <v>0</v>
      </c>
      <c r="N32" s="99">
        <f>IFERROR(J32*IF(AND(ISNUMBER(SEARCH(TEXT(C32,"ddd"),$G$11)),Data!$F$2),$G$14,$D$14)+K32*$G$14,"")</f>
        <v>0</v>
      </c>
      <c r="O32" s="164"/>
      <c r="P32" s="127"/>
    </row>
    <row r="33" spans="2:17">
      <c r="B33" s="66"/>
      <c r="C33" s="76"/>
      <c r="D33" s="77"/>
      <c r="E33" s="144"/>
      <c r="F33" s="144"/>
      <c r="G33" s="597" t="s">
        <v>182</v>
      </c>
      <c r="H33" s="598"/>
      <c r="I33" s="80">
        <f>SUM(I17:I32)</f>
        <v>2</v>
      </c>
      <c r="J33" s="80">
        <f>SUM(J17:J32)</f>
        <v>18</v>
      </c>
      <c r="K33" s="80">
        <f>SUM(K17:K32)</f>
        <v>0</v>
      </c>
      <c r="L33" s="80">
        <f t="shared" ref="L33:M33" si="6">SUM(L17:L32)</f>
        <v>0</v>
      </c>
      <c r="M33" s="80">
        <f t="shared" si="6"/>
        <v>0</v>
      </c>
      <c r="N33" s="66"/>
      <c r="O33" s="165">
        <f>SUM(O17:O31)</f>
        <v>1125</v>
      </c>
      <c r="P33" s="165">
        <f>SUM(P17:P31)</f>
        <v>562.5</v>
      </c>
      <c r="Q33" s="95">
        <f>O33+P33</f>
        <v>1687.5</v>
      </c>
    </row>
    <row r="34" spans="2:17">
      <c r="B34" s="66"/>
      <c r="C34" s="76"/>
      <c r="D34" s="77"/>
      <c r="E34" s="144"/>
      <c r="F34" s="144"/>
      <c r="G34" s="81" t="s">
        <v>39</v>
      </c>
      <c r="H34" s="82"/>
      <c r="I34" s="83"/>
      <c r="J34" s="84"/>
      <c r="K34" s="116"/>
      <c r="L34" s="102">
        <f>(D14/60)*0</f>
        <v>0</v>
      </c>
      <c r="M34" s="118"/>
      <c r="N34" s="166">
        <f>D14*H14</f>
        <v>1125</v>
      </c>
      <c r="O34" s="95"/>
      <c r="P34" s="95"/>
      <c r="Q34" s="95"/>
    </row>
    <row r="35" spans="2:17">
      <c r="B35" s="65"/>
      <c r="C35" s="65"/>
      <c r="D35" s="85"/>
      <c r="E35" s="85"/>
      <c r="F35" s="85"/>
      <c r="G35" s="592" t="s">
        <v>183</v>
      </c>
      <c r="H35" s="592"/>
      <c r="I35" s="80"/>
      <c r="J35" s="80">
        <f>H14-J33</f>
        <v>0</v>
      </c>
      <c r="K35" s="65"/>
      <c r="L35" s="120"/>
      <c r="M35" s="65"/>
      <c r="N35" s="121">
        <f>M33</f>
        <v>0</v>
      </c>
      <c r="O35" s="151">
        <f>O33-O34</f>
        <v>1125</v>
      </c>
      <c r="P35" s="95"/>
      <c r="Q35" s="95"/>
    </row>
    <row r="36" spans="2:17">
      <c r="B36" s="65"/>
      <c r="C36" s="65"/>
      <c r="D36" s="85"/>
      <c r="E36" s="145"/>
      <c r="F36" s="145"/>
      <c r="G36" s="78" t="s">
        <v>41</v>
      </c>
      <c r="H36" s="79"/>
      <c r="I36" s="66"/>
      <c r="J36" s="66"/>
      <c r="K36" s="80"/>
      <c r="L36" s="80"/>
      <c r="M36" s="80"/>
      <c r="N36" s="121">
        <f>N34-N35</f>
        <v>1125</v>
      </c>
      <c r="O36" s="95"/>
      <c r="P36" s="95"/>
      <c r="Q36" s="95"/>
    </row>
    <row r="37" spans="2:17">
      <c r="B37" s="65"/>
      <c r="C37" s="65"/>
      <c r="D37" s="85"/>
      <c r="E37" s="146"/>
      <c r="F37" s="146"/>
      <c r="G37" s="604" t="s">
        <v>184</v>
      </c>
      <c r="H37" s="605"/>
      <c r="I37" s="80"/>
      <c r="J37" s="66"/>
      <c r="K37" s="122"/>
      <c r="L37" s="122"/>
      <c r="M37" s="122"/>
      <c r="N37" s="123">
        <f>K33*G14</f>
        <v>0</v>
      </c>
      <c r="O37" s="95"/>
    </row>
    <row r="38" spans="2:17">
      <c r="B38" s="65"/>
      <c r="C38" s="65"/>
      <c r="D38" s="85"/>
      <c r="E38" s="146"/>
      <c r="F38" s="146"/>
      <c r="G38" s="86" t="s">
        <v>185</v>
      </c>
      <c r="H38" s="87"/>
      <c r="I38" s="80"/>
      <c r="J38" s="66"/>
      <c r="K38" s="122"/>
      <c r="L38" s="122"/>
      <c r="M38" s="122"/>
      <c r="N38" s="123">
        <f>N55</f>
        <v>1125</v>
      </c>
      <c r="O38" s="95"/>
    </row>
    <row r="39" spans="2:17">
      <c r="B39" s="65"/>
      <c r="C39" s="65"/>
      <c r="D39" s="85"/>
      <c r="E39" s="145"/>
      <c r="F39" s="145"/>
      <c r="G39" s="597" t="s">
        <v>186</v>
      </c>
      <c r="H39" s="598"/>
      <c r="I39" s="66"/>
      <c r="J39" s="66"/>
      <c r="K39" s="66"/>
      <c r="L39" s="66"/>
      <c r="M39" s="66"/>
      <c r="N39" s="124">
        <f>N36+N37+N38</f>
        <v>2250</v>
      </c>
      <c r="O39" s="95"/>
    </row>
    <row r="40" spans="2:17">
      <c r="D40" s="88"/>
      <c r="E40" s="88"/>
      <c r="F40" s="88"/>
      <c r="G40" s="589"/>
      <c r="H40" s="589"/>
      <c r="I40" s="90"/>
      <c r="J40" s="90"/>
      <c r="K40" s="125"/>
      <c r="L40" s="125"/>
      <c r="M40" s="125"/>
      <c r="N40" s="126"/>
      <c r="O40" s="127"/>
    </row>
    <row r="41" spans="2:17">
      <c r="D41" s="91"/>
      <c r="E41" s="91"/>
      <c r="F41" s="91"/>
      <c r="M41" t="s">
        <v>196</v>
      </c>
    </row>
    <row r="42" spans="2:17">
      <c r="B42" s="590" t="s">
        <v>187</v>
      </c>
      <c r="C42" s="590"/>
      <c r="D42" s="590"/>
      <c r="E42" s="590"/>
      <c r="F42" s="590"/>
      <c r="G42" s="590"/>
      <c r="H42" s="590"/>
      <c r="I42" s="590"/>
      <c r="J42" s="590"/>
      <c r="K42" s="590"/>
      <c r="L42" s="590"/>
      <c r="M42" s="590"/>
      <c r="N42" s="590"/>
    </row>
    <row r="43" spans="2:17">
      <c r="D43" s="91"/>
      <c r="E43" s="91"/>
      <c r="F43" s="91"/>
    </row>
    <row r="44" spans="2:17">
      <c r="D44" s="91" t="s">
        <v>188</v>
      </c>
      <c r="E44" s="91"/>
      <c r="F44" s="91"/>
      <c r="N44" s="95"/>
    </row>
    <row r="45" spans="2:17">
      <c r="D45" s="54" t="s">
        <v>10</v>
      </c>
      <c r="E45" s="54"/>
      <c r="F45" s="54"/>
      <c r="G45" s="54" t="s">
        <v>11</v>
      </c>
      <c r="H45" s="54" t="s">
        <v>12</v>
      </c>
      <c r="I45" s="55" t="s">
        <v>13</v>
      </c>
    </row>
    <row r="46" spans="2:17">
      <c r="D46" s="56">
        <v>2025</v>
      </c>
      <c r="E46" s="56"/>
      <c r="F46" s="56"/>
      <c r="G46" s="56" t="s">
        <v>29</v>
      </c>
      <c r="H46" s="56">
        <v>17</v>
      </c>
      <c r="I46" s="56" t="s">
        <v>15</v>
      </c>
    </row>
    <row r="47" spans="2:17">
      <c r="D47" s="57"/>
      <c r="E47" s="57"/>
      <c r="F47" s="57"/>
      <c r="G47" s="57"/>
    </row>
    <row r="48" spans="2:17" ht="33.75">
      <c r="D48" s="159" t="s">
        <v>16</v>
      </c>
      <c r="E48" s="159"/>
      <c r="F48" s="159"/>
      <c r="G48" s="159" t="s">
        <v>17</v>
      </c>
      <c r="H48" s="159" t="s">
        <v>18</v>
      </c>
      <c r="I48" s="159" t="s">
        <v>19</v>
      </c>
    </row>
    <row r="49" spans="3:14">
      <c r="D49" s="61">
        <v>0.33333333333333298</v>
      </c>
      <c r="E49" s="61"/>
      <c r="F49" s="61"/>
      <c r="G49" s="62">
        <v>10</v>
      </c>
      <c r="H49" s="63">
        <f>D14</f>
        <v>62.5</v>
      </c>
      <c r="I49" s="130">
        <f>(H49*30%)+H49</f>
        <v>81.25</v>
      </c>
    </row>
    <row r="51" spans="3:14">
      <c r="C51" s="131" t="s">
        <v>20</v>
      </c>
      <c r="D51" s="131" t="s">
        <v>12</v>
      </c>
      <c r="E51" s="131"/>
      <c r="F51" s="131"/>
      <c r="G51" s="131" t="s">
        <v>21</v>
      </c>
      <c r="H51" s="131" t="s">
        <v>22</v>
      </c>
      <c r="I51" s="131" t="s">
        <v>23</v>
      </c>
      <c r="J51" s="131" t="s">
        <v>24</v>
      </c>
      <c r="K51" s="131" t="s">
        <v>25</v>
      </c>
      <c r="L51" s="131"/>
      <c r="M51" s="131"/>
      <c r="N51" s="131" t="s">
        <v>26</v>
      </c>
    </row>
    <row r="52" spans="3:14">
      <c r="C52" s="70" t="s">
        <v>352</v>
      </c>
      <c r="D52" s="71">
        <v>45764</v>
      </c>
      <c r="E52" s="71"/>
      <c r="F52" s="71"/>
      <c r="G52" s="72">
        <v>0.33333333333333331</v>
      </c>
      <c r="H52" s="72">
        <v>0.75</v>
      </c>
      <c r="I52" s="73">
        <v>1</v>
      </c>
      <c r="J52" s="73">
        <f t="shared" ref="J52:J54" si="7">IFERROR(IF(AND(G52&lt;&gt;"",H52&lt;&gt;""),IF(G52&gt;$B$14+TIME($C$14,($C$14-INT($C$14))*60,0),0,IF(H52&gt;$B$14+TIME($C$14,($C$14-INT($C$14))*60,0),MIN(TIME($C$14,($C$14-INT($C$14))*60,0),($B$14+TIME($C$14,($C$14-INT($C$14))*60,0)-G52)),MIN(IF((H52-$B$14)&lt;0,0,(H52-$B$14)),(H52-G52))))*24,"")-I52,"")</f>
        <v>9</v>
      </c>
      <c r="K52" s="73">
        <f>IF(AND(G52&lt;&gt;"",H52&lt;&gt;""),((IF(G52&lt;$D$49,MIN($D$49-G52,H52-G52),0)+IF(H52&gt;$D$49+TIME($G$49,($G$49-INT($G$49))*60,0),MIN((H52-$D$49-TIME($G$49,($G$49-INT($G$49))*60,0)),(H52-G52)),0))*24),"")</f>
        <v>0</v>
      </c>
      <c r="L52" s="73"/>
      <c r="M52" s="73"/>
      <c r="N52" s="99">
        <v>562.5</v>
      </c>
    </row>
    <row r="53" spans="3:14">
      <c r="C53" s="70" t="s">
        <v>353</v>
      </c>
      <c r="D53" s="71">
        <v>18</v>
      </c>
      <c r="E53" s="71"/>
      <c r="F53" s="71"/>
      <c r="G53" s="72">
        <v>0.33333333333333331</v>
      </c>
      <c r="H53" s="72">
        <v>0.75</v>
      </c>
      <c r="I53" s="73">
        <v>1</v>
      </c>
      <c r="J53" s="73">
        <f t="shared" si="7"/>
        <v>9</v>
      </c>
      <c r="K53" s="73">
        <f t="shared" ref="K53:K54" si="8">IF(AND(G53&lt;&gt;"",H53&lt;&gt;""),((IF(G53&lt;$D$49,MIN($D$49-G53,H53-G53),0)+IF(H53&gt;$D$49+TIME($G$49,($G$49-INT($G$49))*60,0),MIN((H53-$D$49-TIME($G$49,($G$49-INT($G$49))*60,0)),(H53-G53)),0))*24),"")</f>
        <v>0</v>
      </c>
      <c r="L53" s="73"/>
      <c r="M53" s="73"/>
      <c r="N53" s="99">
        <v>562.5</v>
      </c>
    </row>
    <row r="54" spans="3:14">
      <c r="C54" s="70" t="s">
        <v>193</v>
      </c>
      <c r="D54" s="71">
        <v>19</v>
      </c>
      <c r="E54" s="71"/>
      <c r="F54" s="71"/>
      <c r="G54" s="72">
        <v>0</v>
      </c>
      <c r="H54" s="72">
        <v>0</v>
      </c>
      <c r="I54" s="73">
        <v>0</v>
      </c>
      <c r="J54" s="73">
        <f t="shared" si="7"/>
        <v>0</v>
      </c>
      <c r="K54" s="73">
        <f t="shared" si="8"/>
        <v>0</v>
      </c>
      <c r="L54" s="73"/>
      <c r="M54" s="73"/>
      <c r="N54" s="99"/>
    </row>
    <row r="55" spans="3:14"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318">
        <f>SUM(N52:N54)</f>
        <v>1125</v>
      </c>
    </row>
    <row r="56" spans="3:14">
      <c r="N56" s="138"/>
    </row>
    <row r="57" spans="3:14">
      <c r="C57" s="132" t="s">
        <v>190</v>
      </c>
      <c r="D57" s="132"/>
      <c r="N57" s="138"/>
    </row>
    <row r="58" spans="3:14">
      <c r="N58" s="138"/>
    </row>
    <row r="59" spans="3:14">
      <c r="C59" s="591">
        <v>44981</v>
      </c>
      <c r="D59" s="591"/>
      <c r="E59" s="591"/>
      <c r="F59" s="88"/>
      <c r="G59" s="148" t="s">
        <v>280</v>
      </c>
      <c r="H59" s="254"/>
      <c r="N59" s="138"/>
    </row>
    <row r="60" spans="3:14">
      <c r="D60" s="88"/>
      <c r="E60" s="88"/>
      <c r="F60" s="256">
        <f>F59*G60</f>
        <v>0</v>
      </c>
      <c r="G60" s="253">
        <v>0.3</v>
      </c>
      <c r="H60" s="254"/>
      <c r="N60" s="138"/>
    </row>
    <row r="61" spans="3:14">
      <c r="D61" s="91"/>
      <c r="E61" s="91"/>
      <c r="F61" s="91"/>
      <c r="N61" s="138"/>
    </row>
    <row r="62" spans="3:14">
      <c r="D62" s="91"/>
      <c r="E62" s="91"/>
      <c r="F62" s="91"/>
      <c r="G62" s="257">
        <f>F60</f>
        <v>0</v>
      </c>
      <c r="N62" s="138"/>
    </row>
    <row r="63" spans="3:14">
      <c r="N63" s="138"/>
    </row>
    <row r="64" spans="3:14">
      <c r="D64" s="132"/>
      <c r="E64" s="132"/>
      <c r="F64" s="132"/>
      <c r="G64" s="133"/>
      <c r="H64" s="133"/>
      <c r="I64" s="133"/>
    </row>
    <row r="65" spans="3:9">
      <c r="D65" s="132"/>
      <c r="E65" s="132"/>
      <c r="F65" s="132"/>
      <c r="G65" s="133"/>
      <c r="H65" s="133"/>
      <c r="I65" s="133"/>
    </row>
    <row r="66" spans="3:9">
      <c r="F66" s="132"/>
      <c r="G66" s="133"/>
      <c r="H66" s="133"/>
      <c r="I66" s="133"/>
    </row>
    <row r="67" spans="3:9">
      <c r="G67" s="606"/>
      <c r="H67" s="606"/>
    </row>
    <row r="70" spans="3:9">
      <c r="C70" s="91" t="s">
        <v>141</v>
      </c>
    </row>
    <row r="71" spans="3:9">
      <c r="C71" t="s">
        <v>66</v>
      </c>
    </row>
    <row r="72" spans="3:9">
      <c r="C72" s="91"/>
    </row>
  </sheetData>
  <mergeCells count="13">
    <mergeCell ref="G67:H67"/>
    <mergeCell ref="G35:H35"/>
    <mergeCell ref="G37:H37"/>
    <mergeCell ref="G39:H39"/>
    <mergeCell ref="G40:H40"/>
    <mergeCell ref="B42:N42"/>
    <mergeCell ref="C59:E59"/>
    <mergeCell ref="G33:H33"/>
    <mergeCell ref="A6:N6"/>
    <mergeCell ref="C7:D7"/>
    <mergeCell ref="M7:O7"/>
    <mergeCell ref="C8:D8"/>
    <mergeCell ref="M8:O8"/>
  </mergeCells>
  <conditionalFormatting sqref="C17:D17">
    <cfRule type="expression" dxfId="80" priority="27">
      <formula>ISNUMBER(SEARCH(TEXT($B17,"ddd"),$F$10))</formula>
    </cfRule>
  </conditionalFormatting>
  <conditionalFormatting sqref="C18:D31 E31:G31 C32:G32 C52:N54">
    <cfRule type="expression" dxfId="79" priority="29">
      <formula>ISNUMBER(SEARCH(TEXT($C18,"ddd"),$G$11))</formula>
    </cfRule>
  </conditionalFormatting>
  <conditionalFormatting sqref="E17:K30">
    <cfRule type="expression" dxfId="78" priority="1">
      <formula>ISNUMBER(SEARCH(TEXT($C17,"ddd"),$G$11))</formula>
    </cfRule>
  </conditionalFormatting>
  <conditionalFormatting sqref="H31:K32">
    <cfRule type="expression" dxfId="77" priority="5">
      <formula>ISNUMBER(SEARCH(TEXT($C31,"ddd"),$G$11))</formula>
    </cfRule>
  </conditionalFormatting>
  <conditionalFormatting sqref="N17:N32">
    <cfRule type="expression" dxfId="76" priority="14">
      <formula>ISNUMBER(SEARCH(TEXT($B17,"ddd"),$F$10))</formula>
    </cfRule>
  </conditionalFormatting>
  <dataValidations count="5">
    <dataValidation type="list" allowBlank="1" showInputMessage="1" showErrorMessage="1" sqref="E11:F11" xr:uid="{00000000-0002-0000-2C00-000000000000}">
      <formula1>ORBISO!DateCalc</formula1>
    </dataValidation>
    <dataValidation type="custom" allowBlank="1" showInputMessage="1" showErrorMessage="1" sqref="G52:G54 E17:G32" xr:uid="{00000000-0002-0000-2C00-000001000000}">
      <formula1>AND($G17&lt;=1,ISNUMBER($G17))</formula1>
    </dataValidation>
    <dataValidation type="custom" allowBlank="1" showInputMessage="1" showErrorMessage="1" sqref="H52:H54 H17:H32" xr:uid="{00000000-0002-0000-2C00-000002000000}">
      <formula1>AND($H17&lt;=1,ISNUMBER($H17),($H17&gt;=$G17))</formula1>
    </dataValidation>
    <dataValidation type="list" allowBlank="1" showInputMessage="1" showErrorMessage="1" sqref="D11 H46" xr:uid="{00000000-0002-0000-2C00-000003000000}">
      <formula1>DateCalc</formula1>
    </dataValidation>
    <dataValidation type="list" allowBlank="1" showInputMessage="1" showErrorMessage="1" sqref="G11" xr:uid="{00000000-0002-0000-2C00-000004000000}"/>
  </dataValidations>
  <pageMargins left="1.07083333333333" right="0.25" top="0.359722222222222" bottom="0.39791666666666697" header="0.29861111111111099" footer="0.29861111111111099"/>
  <pageSetup paperSize="9" scale="91" orientation="landscape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71041" r:id="rId4" name="Check Box 1">
              <controlPr defaultSize="0" print="0" autoPict="0">
                <anchor moveWithCells="1">
                  <from>
                    <xdr:col>7</xdr:col>
                    <xdr:colOff>180975</xdr:colOff>
                    <xdr:row>9</xdr:row>
                    <xdr:rowOff>28575</xdr:rowOff>
                  </from>
                  <to>
                    <xdr:col>8</xdr:col>
                    <xdr:colOff>571500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2C00-000005000000}">
          <x14:formula1>
            <xm:f>Data!$B$2:$B$13</xm:f>
          </x14:formula1>
          <xm:sqref>C11 G46</xm:sqref>
        </x14:dataValidation>
        <x14:dataValidation type="list" allowBlank="1" showInputMessage="1" showErrorMessage="1" xr:uid="{00000000-0002-0000-2C00-000006000000}">
          <x14:formula1>
            <xm:f>Data!$A$2:$A$12</xm:f>
          </x14:formula1>
          <xm:sqref>B11 D46:F46</xm:sqref>
        </x14:dataValidation>
        <x14:dataValidation type="list" allowBlank="1" showInputMessage="1" showErrorMessage="1" xr:uid="{00000000-0002-0000-2C00-000007000000}">
          <x14:formula1>
            <xm:f>Data!$D$2:$D$16</xm:f>
          </x14:formula1>
          <xm:sqref>I46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5:AH73"/>
  <sheetViews>
    <sheetView showGridLines="0" showWhiteSpace="0" view="pageLayout" topLeftCell="A24" zoomScaleNormal="100" workbookViewId="0">
      <selection activeCell="I33" sqref="I33"/>
    </sheetView>
  </sheetViews>
  <sheetFormatPr defaultColWidth="9" defaultRowHeight="12.75"/>
  <cols>
    <col min="1" max="1" width="1.625" customWidth="1"/>
    <col min="2" max="2" width="5.375" customWidth="1"/>
    <col min="3" max="3" width="7.125" customWidth="1"/>
    <col min="4" max="6" width="7.625" customWidth="1"/>
    <col min="7" max="7" width="10.125" customWidth="1"/>
    <col min="8" max="8" width="9.625" customWidth="1"/>
    <col min="9" max="9" width="8.125" customWidth="1"/>
    <col min="10" max="10" width="10.125" customWidth="1"/>
    <col min="11" max="11" width="7.875" customWidth="1"/>
    <col min="12" max="12" width="9.625" customWidth="1"/>
    <col min="13" max="13" width="11.375" customWidth="1"/>
    <col min="14" max="14" width="10.875" customWidth="1"/>
    <col min="15" max="15" width="16.875" customWidth="1"/>
    <col min="18" max="18" width="11.125" customWidth="1"/>
  </cols>
  <sheetData>
    <row r="5" spans="1:21" ht="25.5" customHeight="1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21" s="47" customFormat="1" ht="25.5" customHeight="1">
      <c r="A6" s="603"/>
      <c r="B6" s="603"/>
      <c r="C6" s="603"/>
      <c r="D6" s="603"/>
      <c r="E6" s="603"/>
      <c r="F6" s="603"/>
      <c r="G6" s="603"/>
      <c r="H6" s="603"/>
      <c r="I6" s="603"/>
      <c r="J6" s="603"/>
      <c r="K6" s="603"/>
      <c r="L6" s="603"/>
      <c r="M6" s="603"/>
      <c r="N6" s="603"/>
    </row>
    <row r="7" spans="1:21" ht="18.75" customHeight="1">
      <c r="C7" s="527" t="s">
        <v>3</v>
      </c>
      <c r="D7" s="527"/>
      <c r="E7" s="49"/>
      <c r="F7" s="49"/>
      <c r="G7" s="50" t="s">
        <v>335</v>
      </c>
      <c r="H7" s="51"/>
      <c r="K7" s="49" t="s">
        <v>174</v>
      </c>
      <c r="M7" s="599" t="str">
        <f>PAALAN!L7</f>
        <v>September  11-25, 2026</v>
      </c>
      <c r="N7" s="599"/>
      <c r="O7" s="599"/>
    </row>
    <row r="8" spans="1:21" ht="18.75" customHeight="1">
      <c r="C8" s="527" t="s">
        <v>175</v>
      </c>
      <c r="D8" s="527"/>
      <c r="E8" s="49"/>
      <c r="F8" s="49"/>
      <c r="G8" s="50" t="s">
        <v>86</v>
      </c>
      <c r="H8" s="51"/>
      <c r="K8" s="49" t="s">
        <v>176</v>
      </c>
      <c r="L8" s="92"/>
      <c r="M8" s="600" t="str">
        <f>PAALAN!L8</f>
        <v>9/31/2026</v>
      </c>
      <c r="N8" s="600"/>
      <c r="O8" s="600"/>
    </row>
    <row r="9" spans="1:21">
      <c r="C9" s="52"/>
      <c r="D9" s="53"/>
      <c r="E9" s="53"/>
      <c r="F9" s="53"/>
      <c r="G9" s="53"/>
    </row>
    <row r="10" spans="1:21">
      <c r="B10" s="54" t="s">
        <v>10</v>
      </c>
      <c r="C10" s="54" t="s">
        <v>11</v>
      </c>
      <c r="D10" s="54" t="s">
        <v>12</v>
      </c>
      <c r="E10" s="54"/>
      <c r="F10" s="54"/>
      <c r="G10" s="55" t="s">
        <v>13</v>
      </c>
    </row>
    <row r="11" spans="1:21">
      <c r="B11" s="56">
        <v>2025</v>
      </c>
      <c r="C11" s="56" t="s">
        <v>29</v>
      </c>
      <c r="D11" s="56">
        <v>11</v>
      </c>
      <c r="E11" s="56"/>
      <c r="F11" s="56"/>
      <c r="G11" s="56" t="s">
        <v>178</v>
      </c>
    </row>
    <row r="12" spans="1:21">
      <c r="B12" s="57"/>
      <c r="C12" s="57"/>
      <c r="H12" s="57"/>
      <c r="K12" s="57"/>
      <c r="L12" s="57"/>
      <c r="M12" s="57"/>
    </row>
    <row r="13" spans="1:21" ht="32.1" customHeight="1">
      <c r="B13" s="159" t="s">
        <v>16</v>
      </c>
      <c r="C13" s="159" t="s">
        <v>17</v>
      </c>
      <c r="D13" s="159" t="s">
        <v>18</v>
      </c>
      <c r="E13" s="160"/>
      <c r="F13" s="160"/>
      <c r="G13" s="160" t="s">
        <v>19</v>
      </c>
      <c r="H13" s="161" t="s">
        <v>179</v>
      </c>
      <c r="L13" s="93"/>
      <c r="M13" s="93"/>
      <c r="N13" s="94"/>
      <c r="O13" s="159" t="s">
        <v>16</v>
      </c>
      <c r="P13" s="159" t="s">
        <v>17</v>
      </c>
      <c r="Q13" s="159" t="s">
        <v>18</v>
      </c>
      <c r="R13" s="160"/>
      <c r="S13" s="160"/>
      <c r="T13" s="160" t="s">
        <v>19</v>
      </c>
      <c r="U13" s="161" t="s">
        <v>179</v>
      </c>
    </row>
    <row r="14" spans="1:21">
      <c r="B14" s="61">
        <v>0.33333333333333331</v>
      </c>
      <c r="C14" s="62">
        <v>10</v>
      </c>
      <c r="D14" s="63">
        <f>(13000/26)/8</f>
        <v>62.5</v>
      </c>
      <c r="E14" s="142"/>
      <c r="F14" s="142"/>
      <c r="G14" s="64">
        <f>(D14*25%)+D14</f>
        <v>78.125</v>
      </c>
      <c r="H14" s="65">
        <v>105</v>
      </c>
      <c r="I14" s="95"/>
      <c r="L14" s="57"/>
      <c r="M14" s="57"/>
      <c r="N14" s="95"/>
      <c r="O14" s="61">
        <v>0.375</v>
      </c>
      <c r="P14" s="62">
        <v>3</v>
      </c>
      <c r="Q14" s="63">
        <f>(14427.92/26)/8</f>
        <v>69.364999999999995</v>
      </c>
      <c r="R14" s="142"/>
      <c r="S14" s="142"/>
      <c r="T14" s="64">
        <f>(Q14*25%)+Q14</f>
        <v>86.706249999999997</v>
      </c>
      <c r="U14" s="65">
        <v>99</v>
      </c>
    </row>
    <row r="15" spans="1:21">
      <c r="H15" s="65"/>
      <c r="N15" s="96"/>
    </row>
    <row r="16" spans="1:21" ht="23.25">
      <c r="B16" s="66"/>
      <c r="C16" s="67" t="s">
        <v>20</v>
      </c>
      <c r="D16" s="67" t="s">
        <v>12</v>
      </c>
      <c r="E16" s="67"/>
      <c r="F16" s="67"/>
      <c r="G16" s="67" t="s">
        <v>21</v>
      </c>
      <c r="H16" s="67" t="s">
        <v>22</v>
      </c>
      <c r="I16" s="68" t="s">
        <v>23</v>
      </c>
      <c r="J16" s="68" t="s">
        <v>24</v>
      </c>
      <c r="K16" s="68" t="s">
        <v>25</v>
      </c>
      <c r="L16" s="67" t="s">
        <v>180</v>
      </c>
      <c r="M16" s="134" t="s">
        <v>181</v>
      </c>
      <c r="N16" s="67" t="s">
        <v>26</v>
      </c>
    </row>
    <row r="17" spans="2:34">
      <c r="B17" s="69">
        <v>1</v>
      </c>
      <c r="C17" s="70">
        <f>DATE($B$11,MATCH($C$11,Data!$B$2:$B$13,0),MACATANGAY!$D$11)</f>
        <v>45758</v>
      </c>
      <c r="D17" s="71">
        <f>DATE($B$11,MATCH($C$11,Data!$B$2:$B$13,0),MACATANGAY!$D$11)</f>
        <v>45758</v>
      </c>
      <c r="E17" s="72">
        <v>0.34027777777777773</v>
      </c>
      <c r="F17" s="72">
        <v>6.9444444444444441E-3</v>
      </c>
      <c r="G17" s="72">
        <f t="shared" ref="G17:G31" si="0">E17-F17</f>
        <v>0.33333333333333331</v>
      </c>
      <c r="H17" s="72">
        <v>0.75</v>
      </c>
      <c r="I17" s="73">
        <v>1</v>
      </c>
      <c r="J17" s="73">
        <f t="shared" ref="J17:J31" si="1">IFERROR(IF(AND(G17&lt;&gt;"",H17&lt;&gt;""),IF(G17&gt;$B$14+TIME($C$14,($C$14-INT($C$14))*60,0),0,IF(H17&gt;$B$14+TIME($C$14,($C$14-INT($C$14))*60,0),MIN(TIME($C$14,($C$14-INT($C$14))*60,0),($B$14+TIME($C$14,($C$14-INT($C$14))*60,0)-G17)),MIN(IF((H17-$B$14)&lt;0,0,(H17-$B$14)),(H17-G17))))*24,"")-I17,"")</f>
        <v>9</v>
      </c>
      <c r="K17" s="73">
        <f t="shared" ref="K17:K28" si="2">IF(AND(G17&lt;&gt;"",H17&lt;&gt;""),((IF(G17&lt;$B$14,MIN($B$14-G17,H17-G17),0)+IF(H17&gt;$B$14+TIME($C$14,($C$14-INT($C$14))*60,0),MIN((H17-$B$14-TIME($C$14,($C$14-INT($C$14))*60,0)),(H17-G17)),0))*24),"")</f>
        <v>0</v>
      </c>
      <c r="L17" s="110">
        <f>G17-B14</f>
        <v>0</v>
      </c>
      <c r="M17" s="102">
        <f>(D14/60)*0</f>
        <v>0</v>
      </c>
      <c r="N17" s="99">
        <f>IFERROR(J17*IF(AND(ISNUMBER(SEARCH(TEXT(C17,"ddd"),$G$11)),Data!$F$2),$G$14,$D$14)+K17*$G$14,"")</f>
        <v>562.5</v>
      </c>
      <c r="O17" s="141">
        <f t="shared" ref="O17:O30" si="3">M17+N17</f>
        <v>562.5</v>
      </c>
      <c r="P17" s="100"/>
      <c r="Q17" s="89"/>
    </row>
    <row r="18" spans="2:34">
      <c r="B18" s="69">
        <v>2</v>
      </c>
      <c r="C18" s="70">
        <f t="shared" ref="C18:D32" si="4">C17+1</f>
        <v>45759</v>
      </c>
      <c r="D18" s="71">
        <f t="shared" si="4"/>
        <v>45759</v>
      </c>
      <c r="E18" s="72">
        <v>0.34027777777777773</v>
      </c>
      <c r="F18" s="72">
        <v>6.9444444444444441E-3</v>
      </c>
      <c r="G18" s="72">
        <f t="shared" si="0"/>
        <v>0.33333333333333331</v>
      </c>
      <c r="H18" s="72">
        <v>0.75</v>
      </c>
      <c r="I18" s="73">
        <v>1</v>
      </c>
      <c r="J18" s="73">
        <f t="shared" si="1"/>
        <v>9</v>
      </c>
      <c r="K18" s="73">
        <f t="shared" si="2"/>
        <v>0</v>
      </c>
      <c r="L18" s="110">
        <f>G18-B14</f>
        <v>0</v>
      </c>
      <c r="M18" s="102">
        <f>(D14/60)*0</f>
        <v>0</v>
      </c>
      <c r="N18" s="111">
        <f>IFERROR(J18*IF(AND(ISNUMBER(SEARCH(TEXT(C18,"ddd"),$G$11)),Data!$F$2),$G$14,$D$14)+K18*$G$14,"")</f>
        <v>562.5</v>
      </c>
      <c r="O18" s="141">
        <f t="shared" si="3"/>
        <v>562.5</v>
      </c>
      <c r="P18" s="89"/>
      <c r="Q18" s="89"/>
    </row>
    <row r="19" spans="2:34">
      <c r="B19" s="69">
        <v>3</v>
      </c>
      <c r="C19" s="70">
        <f t="shared" si="4"/>
        <v>45760</v>
      </c>
      <c r="D19" s="71">
        <f t="shared" si="4"/>
        <v>45760</v>
      </c>
      <c r="E19" s="72">
        <v>0.34027777777777773</v>
      </c>
      <c r="F19" s="72">
        <v>6.9444444444444441E-3</v>
      </c>
      <c r="G19" s="72">
        <f t="shared" si="0"/>
        <v>0.33333333333333331</v>
      </c>
      <c r="H19" s="72">
        <v>0.75</v>
      </c>
      <c r="I19" s="73">
        <v>1</v>
      </c>
      <c r="J19" s="73">
        <f t="shared" si="1"/>
        <v>9</v>
      </c>
      <c r="K19" s="73">
        <f t="shared" si="2"/>
        <v>0</v>
      </c>
      <c r="L19" s="110">
        <f>G19-B14</f>
        <v>0</v>
      </c>
      <c r="M19" s="102">
        <f>(D14/60)*0</f>
        <v>0</v>
      </c>
      <c r="N19" s="99">
        <f>IFERROR(J19*IF(AND(ISNUMBER(SEARCH(TEXT(C19,"ddd"),$G$11)),Data!$F$2),$G$14,$D$14)+K19*$G$14,"")</f>
        <v>703.125</v>
      </c>
      <c r="O19" s="141">
        <f t="shared" si="3"/>
        <v>703.125</v>
      </c>
      <c r="P19" s="100"/>
      <c r="Q19" s="104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</row>
    <row r="20" spans="2:34">
      <c r="B20" s="69">
        <v>4</v>
      </c>
      <c r="C20" s="70">
        <f t="shared" si="4"/>
        <v>45761</v>
      </c>
      <c r="D20" s="71">
        <f t="shared" si="4"/>
        <v>45761</v>
      </c>
      <c r="E20" s="72">
        <v>0.34027777777777773</v>
      </c>
      <c r="F20" s="72">
        <v>6.9444444444444441E-3</v>
      </c>
      <c r="G20" s="72">
        <f t="shared" si="0"/>
        <v>0.33333333333333331</v>
      </c>
      <c r="H20" s="72">
        <v>0.75</v>
      </c>
      <c r="I20" s="73">
        <v>1</v>
      </c>
      <c r="J20" s="73">
        <f t="shared" si="1"/>
        <v>9</v>
      </c>
      <c r="K20" s="73">
        <f t="shared" si="2"/>
        <v>0</v>
      </c>
      <c r="L20" s="110">
        <f>G20-B14</f>
        <v>0</v>
      </c>
      <c r="M20" s="102">
        <f>(D14/60)*0</f>
        <v>0</v>
      </c>
      <c r="N20" s="99">
        <f>IFERROR(J20*IF(AND(ISNUMBER(SEARCH(TEXT(C20,"ddd"),$G$11)),Data!$F$2),$G$14,$D$14)+K20*$G$14,"")</f>
        <v>562.5</v>
      </c>
      <c r="O20" s="141">
        <f t="shared" si="3"/>
        <v>562.5</v>
      </c>
      <c r="P20" s="103"/>
      <c r="Q20" s="103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28"/>
    </row>
    <row r="21" spans="2:34">
      <c r="B21" s="69">
        <v>5</v>
      </c>
      <c r="C21" s="70">
        <f t="shared" si="4"/>
        <v>45762</v>
      </c>
      <c r="D21" s="71">
        <f t="shared" si="4"/>
        <v>45762</v>
      </c>
      <c r="E21" s="72">
        <v>0.38194444444444442</v>
      </c>
      <c r="F21" s="72">
        <v>6.9444444444444441E-3</v>
      </c>
      <c r="G21" s="72">
        <f t="shared" si="0"/>
        <v>0.375</v>
      </c>
      <c r="H21" s="72">
        <v>0.5</v>
      </c>
      <c r="I21" s="73">
        <v>0</v>
      </c>
      <c r="J21" s="73">
        <f t="shared" si="1"/>
        <v>3</v>
      </c>
      <c r="K21" s="73">
        <f t="shared" si="2"/>
        <v>0</v>
      </c>
      <c r="L21" s="110">
        <v>0</v>
      </c>
      <c r="M21" s="102">
        <f>(D14/60)*0</f>
        <v>0</v>
      </c>
      <c r="N21" s="111">
        <f>IFERROR(J21*IF(AND(ISNUMBER(SEARCH(TEXT(C21,"ddd"),$G$11)),Data!$F$2),$G$14,$D$14)+K21*$G$14,"")</f>
        <v>187.5</v>
      </c>
      <c r="O21" s="141">
        <f t="shared" si="3"/>
        <v>187.5</v>
      </c>
      <c r="P21" s="162"/>
      <c r="Q21" s="108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4"/>
    </row>
    <row r="22" spans="2:34">
      <c r="B22" s="69"/>
      <c r="C22" s="70">
        <f t="shared" si="4"/>
        <v>45763</v>
      </c>
      <c r="D22" s="71">
        <f t="shared" si="4"/>
        <v>45763</v>
      </c>
      <c r="E22" s="72">
        <v>0</v>
      </c>
      <c r="F22" s="72">
        <v>0</v>
      </c>
      <c r="G22" s="72">
        <f t="shared" si="0"/>
        <v>0</v>
      </c>
      <c r="H22" s="72">
        <v>0</v>
      </c>
      <c r="I22" s="73">
        <v>0</v>
      </c>
      <c r="J22" s="73">
        <f t="shared" si="1"/>
        <v>0</v>
      </c>
      <c r="K22" s="73">
        <f t="shared" si="2"/>
        <v>0</v>
      </c>
      <c r="L22" s="110">
        <v>0</v>
      </c>
      <c r="M22" s="98">
        <f>(D14/60)*0</f>
        <v>0</v>
      </c>
      <c r="N22" s="251">
        <f>IFERROR(J22*IF(AND(ISNUMBER(SEARCH(TEXT(C22,"ddd"),$G$11)),Data!$F$2),$G$14,$D$14)+K22*$G$14,"")</f>
        <v>0</v>
      </c>
      <c r="O22" s="141">
        <f t="shared" si="3"/>
        <v>0</v>
      </c>
      <c r="P22" s="163">
        <f>O21-O22</f>
        <v>187.5</v>
      </c>
      <c r="Q22" s="135"/>
      <c r="R22" s="96">
        <v>0.40486111111111101</v>
      </c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4"/>
    </row>
    <row r="23" spans="2:34">
      <c r="B23" s="69">
        <v>6</v>
      </c>
      <c r="C23" s="70">
        <f t="shared" si="4"/>
        <v>45764</v>
      </c>
      <c r="D23" s="71">
        <f t="shared" si="4"/>
        <v>45764</v>
      </c>
      <c r="E23" s="72">
        <v>0</v>
      </c>
      <c r="F23" s="72">
        <v>0</v>
      </c>
      <c r="G23" s="72">
        <f t="shared" si="0"/>
        <v>0</v>
      </c>
      <c r="H23" s="72">
        <v>0</v>
      </c>
      <c r="I23" s="73">
        <v>0</v>
      </c>
      <c r="J23" s="73">
        <f t="shared" si="1"/>
        <v>0</v>
      </c>
      <c r="K23" s="73">
        <f t="shared" si="2"/>
        <v>0</v>
      </c>
      <c r="L23" s="110">
        <v>0.375</v>
      </c>
      <c r="M23" s="102">
        <f>(D14/60)*540</f>
        <v>562.5</v>
      </c>
      <c r="N23" s="111">
        <f>IFERROR(J23*IF(AND(ISNUMBER(SEARCH(TEXT(C23,"ddd"),$G$11)),Data!$F$2),$G$14,$D$14)+K23*$G$14,"")</f>
        <v>0</v>
      </c>
      <c r="O23" s="141">
        <f t="shared" si="3"/>
        <v>562.5</v>
      </c>
      <c r="P23" s="150"/>
      <c r="Q23" s="89"/>
      <c r="R23" s="96">
        <v>1.0416666666666701E-2</v>
      </c>
    </row>
    <row r="24" spans="2:34">
      <c r="B24" s="69">
        <v>7</v>
      </c>
      <c r="C24" s="70">
        <f t="shared" si="4"/>
        <v>45765</v>
      </c>
      <c r="D24" s="71">
        <f t="shared" si="4"/>
        <v>45765</v>
      </c>
      <c r="E24" s="72">
        <v>0.34027777777777773</v>
      </c>
      <c r="F24" s="72">
        <v>6.9444444444444441E-3</v>
      </c>
      <c r="G24" s="72">
        <f t="shared" si="0"/>
        <v>0.33333333333333331</v>
      </c>
      <c r="H24" s="72">
        <v>0.75</v>
      </c>
      <c r="I24" s="73">
        <v>1</v>
      </c>
      <c r="J24" s="73">
        <f t="shared" si="1"/>
        <v>9</v>
      </c>
      <c r="K24" s="73">
        <f t="shared" si="2"/>
        <v>0</v>
      </c>
      <c r="L24" s="110">
        <f>G24-B14</f>
        <v>0</v>
      </c>
      <c r="M24" s="102">
        <f>(D14/60)*0</f>
        <v>0</v>
      </c>
      <c r="N24" s="99">
        <f>IFERROR(J24*IF(AND(ISNUMBER(SEARCH(TEXT(C24,"ddd"),$G$11)),Data!$F$2),$G$14,$D$14)+K24*$G$14,"")</f>
        <v>562.5</v>
      </c>
      <c r="O24" s="141">
        <f t="shared" si="3"/>
        <v>562.5</v>
      </c>
      <c r="P24" s="155"/>
      <c r="Q24" s="89"/>
      <c r="R24" s="129">
        <f>R22-R23</f>
        <v>0.39444444444444432</v>
      </c>
    </row>
    <row r="25" spans="2:34">
      <c r="B25" s="69">
        <v>8</v>
      </c>
      <c r="C25" s="70">
        <f t="shared" si="4"/>
        <v>45766</v>
      </c>
      <c r="D25" s="71">
        <f t="shared" si="4"/>
        <v>45766</v>
      </c>
      <c r="E25" s="72">
        <v>0.34027777777777773</v>
      </c>
      <c r="F25" s="72">
        <v>6.9444444444444441E-3</v>
      </c>
      <c r="G25" s="72">
        <f t="shared" si="0"/>
        <v>0.33333333333333331</v>
      </c>
      <c r="H25" s="72">
        <v>0.75</v>
      </c>
      <c r="I25" s="73">
        <v>1</v>
      </c>
      <c r="J25" s="73">
        <f t="shared" si="1"/>
        <v>9</v>
      </c>
      <c r="K25" s="73">
        <f t="shared" si="2"/>
        <v>0</v>
      </c>
      <c r="L25" s="110">
        <f>G25-B14</f>
        <v>0</v>
      </c>
      <c r="M25" s="102">
        <f>(D14/60)*0</f>
        <v>0</v>
      </c>
      <c r="N25" s="111">
        <f>IFERROR(J25*IF(AND(ISNUMBER(SEARCH(TEXT(C25,"ddd"),$G$11)),Data!$F$2),$G$14,$D$14)+K25*$G$14,"")</f>
        <v>562.5</v>
      </c>
      <c r="O25" s="141">
        <f t="shared" si="3"/>
        <v>562.5</v>
      </c>
      <c r="P25" s="89"/>
      <c r="Q25" s="89"/>
    </row>
    <row r="26" spans="2:34">
      <c r="B26" s="69">
        <v>9</v>
      </c>
      <c r="C26" s="70">
        <f t="shared" si="4"/>
        <v>45767</v>
      </c>
      <c r="D26" s="71">
        <f t="shared" si="4"/>
        <v>45767</v>
      </c>
      <c r="E26" s="72">
        <v>0.34027777777777773</v>
      </c>
      <c r="F26" s="72">
        <v>6.9444444444444441E-3</v>
      </c>
      <c r="G26" s="72">
        <f t="shared" si="0"/>
        <v>0.33333333333333331</v>
      </c>
      <c r="H26" s="72">
        <v>0.75</v>
      </c>
      <c r="I26" s="73">
        <v>1</v>
      </c>
      <c r="J26" s="73">
        <f t="shared" si="1"/>
        <v>9</v>
      </c>
      <c r="K26" s="73">
        <f t="shared" si="2"/>
        <v>0</v>
      </c>
      <c r="L26" s="110">
        <f>G26-B14</f>
        <v>0</v>
      </c>
      <c r="M26" s="102">
        <f>(D14/60)*0</f>
        <v>0</v>
      </c>
      <c r="N26" s="99">
        <f>IFERROR(J26*IF(AND(ISNUMBER(SEARCH(TEXT(C26,"ddd"),$G$11)),Data!$F$2),$G$14,$D$14)+K26*$G$14,"")</f>
        <v>703.125</v>
      </c>
      <c r="O26" s="141">
        <f t="shared" si="3"/>
        <v>703.125</v>
      </c>
      <c r="P26" s="89"/>
      <c r="Q26" s="89"/>
    </row>
    <row r="27" spans="2:34">
      <c r="B27" s="69">
        <v>10</v>
      </c>
      <c r="C27" s="70">
        <f t="shared" si="4"/>
        <v>45768</v>
      </c>
      <c r="D27" s="71">
        <f t="shared" si="4"/>
        <v>45768</v>
      </c>
      <c r="E27" s="72">
        <v>0.34027777777777773</v>
      </c>
      <c r="F27" s="72">
        <v>6.9444444444444441E-3</v>
      </c>
      <c r="G27" s="72">
        <f t="shared" si="0"/>
        <v>0.33333333333333331</v>
      </c>
      <c r="H27" s="72">
        <v>0.75</v>
      </c>
      <c r="I27" s="73">
        <v>1</v>
      </c>
      <c r="J27" s="73">
        <f t="shared" si="1"/>
        <v>9</v>
      </c>
      <c r="K27" s="73">
        <f t="shared" si="2"/>
        <v>0</v>
      </c>
      <c r="L27" s="110">
        <f>G27-B14</f>
        <v>0</v>
      </c>
      <c r="M27" s="102">
        <f>(D14/60)*0</f>
        <v>0</v>
      </c>
      <c r="N27" s="99">
        <f>IFERROR(J27*IF(AND(ISNUMBER(SEARCH(TEXT(C27,"ddd"),$G$11)),Data!$F$2),$G$14,$D$14)+K27*$G$14,"")</f>
        <v>562.5</v>
      </c>
      <c r="O27" s="141">
        <f t="shared" si="3"/>
        <v>562.5</v>
      </c>
      <c r="P27" s="127"/>
      <c r="Q27" s="89"/>
    </row>
    <row r="28" spans="2:34">
      <c r="B28" s="69">
        <v>11</v>
      </c>
      <c r="C28" s="70">
        <f t="shared" si="4"/>
        <v>45769</v>
      </c>
      <c r="D28" s="71">
        <f t="shared" si="4"/>
        <v>45769</v>
      </c>
      <c r="E28" s="72">
        <v>0.38194444444444442</v>
      </c>
      <c r="F28" s="72">
        <v>6.9444444444444441E-3</v>
      </c>
      <c r="G28" s="72">
        <f t="shared" si="0"/>
        <v>0.375</v>
      </c>
      <c r="H28" s="72">
        <v>0.5</v>
      </c>
      <c r="I28" s="73">
        <v>0</v>
      </c>
      <c r="J28" s="73">
        <f t="shared" si="1"/>
        <v>3</v>
      </c>
      <c r="K28" s="73">
        <f t="shared" si="2"/>
        <v>0</v>
      </c>
      <c r="L28" s="110">
        <v>0</v>
      </c>
      <c r="M28" s="102">
        <f>(D14/60)*0</f>
        <v>0</v>
      </c>
      <c r="N28" s="111">
        <f>IFERROR(J28*IF(AND(ISNUMBER(SEARCH(TEXT(C28,"ddd"),$G$11)),Data!$F$2),$G$14,$D$14)+K28*$G$14,"")</f>
        <v>187.5</v>
      </c>
      <c r="O28" s="141">
        <f t="shared" si="3"/>
        <v>187.5</v>
      </c>
      <c r="Q28" s="89"/>
    </row>
    <row r="29" spans="2:34">
      <c r="B29" s="69"/>
      <c r="C29" s="70">
        <f t="shared" si="4"/>
        <v>45770</v>
      </c>
      <c r="D29" s="71">
        <f t="shared" si="4"/>
        <v>45770</v>
      </c>
      <c r="E29" s="72">
        <v>0</v>
      </c>
      <c r="F29" s="72">
        <v>0</v>
      </c>
      <c r="G29" s="72">
        <f t="shared" si="0"/>
        <v>0</v>
      </c>
      <c r="H29" s="72">
        <v>0</v>
      </c>
      <c r="I29" s="73">
        <v>0</v>
      </c>
      <c r="J29" s="73">
        <f t="shared" si="1"/>
        <v>0</v>
      </c>
      <c r="K29" s="73">
        <v>0</v>
      </c>
      <c r="L29" s="110">
        <v>0</v>
      </c>
      <c r="M29" s="98">
        <f>(D14/60)*0</f>
        <v>0</v>
      </c>
      <c r="N29" s="251">
        <f>IFERROR(J29*IF(AND(ISNUMBER(SEARCH(TEXT(C29,"ddd"),$G$11)),Data!$F$2),$G$14,$D$14)+K29*$G$14,"")</f>
        <v>0</v>
      </c>
      <c r="O29" s="141">
        <f>M29+N29</f>
        <v>0</v>
      </c>
      <c r="P29" s="95">
        <f>O28-O29</f>
        <v>187.5</v>
      </c>
      <c r="Q29" s="89"/>
    </row>
    <row r="30" spans="2:34">
      <c r="B30" s="69">
        <v>12</v>
      </c>
      <c r="C30" s="70">
        <f t="shared" si="4"/>
        <v>45771</v>
      </c>
      <c r="D30" s="71">
        <f t="shared" si="4"/>
        <v>45771</v>
      </c>
      <c r="E30" s="72">
        <v>0.34027777777777773</v>
      </c>
      <c r="F30" s="72">
        <v>6.9444444444444441E-3</v>
      </c>
      <c r="G30" s="72">
        <f t="shared" si="0"/>
        <v>0.33333333333333331</v>
      </c>
      <c r="H30" s="72">
        <v>0.75</v>
      </c>
      <c r="I30" s="73">
        <v>1</v>
      </c>
      <c r="J30" s="73">
        <f t="shared" si="1"/>
        <v>9</v>
      </c>
      <c r="K30" s="73">
        <v>0</v>
      </c>
      <c r="L30" s="110">
        <f>G30-B14</f>
        <v>0</v>
      </c>
      <c r="M30" s="102">
        <f>(D14/60)*0</f>
        <v>0</v>
      </c>
      <c r="N30" s="111">
        <f>IFERROR(J30*IF(AND(ISNUMBER(SEARCH(TEXT(C30,"ddd"),$G$11)),Data!$F$2),$G$14,$D$14)+K30*$G$14,"")</f>
        <v>562.5</v>
      </c>
      <c r="O30" s="141">
        <f t="shared" si="3"/>
        <v>562.5</v>
      </c>
      <c r="P30" s="127"/>
      <c r="Q30" s="89"/>
    </row>
    <row r="31" spans="2:34">
      <c r="B31" s="69">
        <v>13</v>
      </c>
      <c r="C31" s="70">
        <f t="shared" si="4"/>
        <v>45772</v>
      </c>
      <c r="D31" s="71">
        <f t="shared" si="4"/>
        <v>45772</v>
      </c>
      <c r="E31" s="72">
        <v>0.34027777777777773</v>
      </c>
      <c r="F31" s="72">
        <v>6.9444444444444441E-3</v>
      </c>
      <c r="G31" s="72">
        <f t="shared" si="0"/>
        <v>0.33333333333333331</v>
      </c>
      <c r="H31" s="72">
        <v>0.75</v>
      </c>
      <c r="I31" s="73">
        <v>1</v>
      </c>
      <c r="J31" s="73">
        <f t="shared" si="1"/>
        <v>9</v>
      </c>
      <c r="K31" s="73">
        <f t="shared" ref="K31" si="5">IF(AND(G31&lt;&gt;"",H31&lt;&gt;""),((IF(G31&lt;$B$14,MIN($B$14-G31,H31-G31),0)+IF(H31&gt;$B$14+TIME($C$14,($C$14-INT($C$14))*60,0),MIN((H31-$B$14-TIME($C$14,($C$14-INT($C$14))*60,0)),(H31-G31)),0))*24),"")</f>
        <v>0</v>
      </c>
      <c r="L31" s="110">
        <f>G31-B14</f>
        <v>0</v>
      </c>
      <c r="M31" s="102">
        <f>(D14/60)*0</f>
        <v>0</v>
      </c>
      <c r="N31" s="99">
        <f>IFERROR(J31*IF(AND(ISNUMBER(SEARCH(TEXT(C31,"ddd"),$G$11)),Data!$F$2),$G$14,$D$14)+K31*$G$14,"")</f>
        <v>562.5</v>
      </c>
      <c r="O31" s="141">
        <f>M31+N31</f>
        <v>562.5</v>
      </c>
      <c r="P31" s="95">
        <f>O28-O31</f>
        <v>-375</v>
      </c>
    </row>
    <row r="32" spans="2:34">
      <c r="B32" s="69">
        <v>14</v>
      </c>
      <c r="C32" s="70">
        <f t="shared" si="4"/>
        <v>45773</v>
      </c>
      <c r="D32" s="71">
        <f t="shared" si="4"/>
        <v>45773</v>
      </c>
      <c r="E32" s="72">
        <v>0.34027777777777773</v>
      </c>
      <c r="F32" s="72">
        <v>6.9444444444444441E-3</v>
      </c>
      <c r="G32" s="72">
        <f t="shared" ref="G32" si="6">E32-F32</f>
        <v>0.33333333333333331</v>
      </c>
      <c r="H32" s="72">
        <v>0.79166666666666696</v>
      </c>
      <c r="I32" s="73">
        <v>2</v>
      </c>
      <c r="J32" s="73">
        <f t="shared" ref="J32" si="7">IFERROR(IF(AND(G32&lt;&gt;"",H32&lt;&gt;""),IF(G32&gt;$B$14+TIME($C$14,($C$14-INT($C$14))*60,0),0,IF(H32&gt;$B$14+TIME($C$14,($C$14-INT($C$14))*60,0),MIN(TIME($C$14,($C$14-INT($C$14))*60,0),($B$14+TIME($C$14,($C$14-INT($C$14))*60,0)-G32)),MIN(IF((H32-$B$14)&lt;0,0,(H32-$B$14)),(H32-G32))))*24,"")-I32,"")</f>
        <v>8</v>
      </c>
      <c r="K32" s="73">
        <f t="shared" ref="K32" si="8">IF(AND(G32&lt;&gt;"",H32&lt;&gt;""),((IF(G32&lt;$B$14,MIN($B$14-G32,H32-G32),0)+IF(H32&gt;$B$14+TIME($C$14,($C$14-INT($C$14))*60,0),MIN((H32-$B$14-TIME($C$14,($C$14-INT($C$14))*60,0)),(H32-G32)),0))*24),"")</f>
        <v>1.0000000000000071</v>
      </c>
      <c r="L32" s="110">
        <f>G32-B15</f>
        <v>0.33333333333333331</v>
      </c>
      <c r="M32" s="102">
        <f>(D15/60)*0</f>
        <v>0</v>
      </c>
      <c r="N32" s="99">
        <f>IFERROR(J32*IF(AND(ISNUMBER(SEARCH(TEXT(C32,"ddd"),$G$11)),Data!$F$2),$G$14,$D$14)+K32*$G$14,"")</f>
        <v>578.12500000000057</v>
      </c>
      <c r="O32" s="164"/>
      <c r="P32" s="127"/>
    </row>
    <row r="33" spans="2:17">
      <c r="B33" s="66"/>
      <c r="C33" s="76"/>
      <c r="D33" s="77"/>
      <c r="E33" s="144"/>
      <c r="F33" s="144"/>
      <c r="G33" s="597" t="s">
        <v>182</v>
      </c>
      <c r="H33" s="598"/>
      <c r="I33" s="80">
        <f t="shared" ref="I33:J33" si="9">SUM(I17:I32)</f>
        <v>12</v>
      </c>
      <c r="J33" s="80">
        <f t="shared" si="9"/>
        <v>104</v>
      </c>
      <c r="K33" s="80">
        <f>SUM(K17:K31)</f>
        <v>0</v>
      </c>
      <c r="L33" s="113">
        <f>SUM(L17:L32)</f>
        <v>0.70833333333333326</v>
      </c>
      <c r="M33" s="114">
        <f>SUM(M17:M32)</f>
        <v>562.5</v>
      </c>
      <c r="N33" s="66"/>
      <c r="O33" s="165">
        <f>SUM(O17:O31)</f>
        <v>6843.75</v>
      </c>
      <c r="P33" s="165">
        <f>SUM(P17:P31)</f>
        <v>0</v>
      </c>
      <c r="Q33" s="95">
        <f>O33+P33</f>
        <v>6843.75</v>
      </c>
    </row>
    <row r="34" spans="2:17">
      <c r="B34" s="66"/>
      <c r="C34" s="76"/>
      <c r="D34" s="77"/>
      <c r="E34" s="144"/>
      <c r="F34" s="144"/>
      <c r="G34" s="81" t="s">
        <v>39</v>
      </c>
      <c r="H34" s="82"/>
      <c r="I34" s="83"/>
      <c r="J34" s="84"/>
      <c r="K34" s="116"/>
      <c r="L34" s="102">
        <f>(D14/60)*540</f>
        <v>562.5</v>
      </c>
      <c r="M34" s="118"/>
      <c r="N34" s="166">
        <f>D14*H14</f>
        <v>6562.5</v>
      </c>
      <c r="O34" s="95"/>
      <c r="P34" s="95"/>
      <c r="Q34" s="95"/>
    </row>
    <row r="35" spans="2:17">
      <c r="B35" s="65"/>
      <c r="C35" s="65"/>
      <c r="D35" s="85"/>
      <c r="E35" s="85"/>
      <c r="F35" s="85"/>
      <c r="G35" s="592" t="s">
        <v>183</v>
      </c>
      <c r="H35" s="592"/>
      <c r="I35" s="80"/>
      <c r="J35" s="80">
        <f>H14-J33</f>
        <v>1</v>
      </c>
      <c r="K35" s="65"/>
      <c r="L35" s="120"/>
      <c r="M35" s="65"/>
      <c r="N35" s="121">
        <f>L34</f>
        <v>562.5</v>
      </c>
      <c r="O35" s="151">
        <f>O33-O34</f>
        <v>6843.75</v>
      </c>
      <c r="P35" s="95"/>
      <c r="Q35" s="95"/>
    </row>
    <row r="36" spans="2:17">
      <c r="B36" s="65"/>
      <c r="C36" s="65"/>
      <c r="D36" s="85"/>
      <c r="E36" s="145"/>
      <c r="F36" s="145"/>
      <c r="G36" s="78" t="s">
        <v>41</v>
      </c>
      <c r="H36" s="79"/>
      <c r="I36" s="66"/>
      <c r="J36" s="66"/>
      <c r="K36" s="80"/>
      <c r="L36" s="80"/>
      <c r="M36" s="80"/>
      <c r="N36" s="121">
        <f>N34-N35</f>
        <v>6000</v>
      </c>
      <c r="O36" s="95"/>
      <c r="P36" s="95"/>
      <c r="Q36" s="95"/>
    </row>
    <row r="37" spans="2:17">
      <c r="B37" s="65"/>
      <c r="C37" s="65"/>
      <c r="D37" s="85"/>
      <c r="E37" s="146"/>
      <c r="F37" s="146"/>
      <c r="G37" s="604" t="s">
        <v>184</v>
      </c>
      <c r="H37" s="605"/>
      <c r="I37" s="80"/>
      <c r="J37" s="66"/>
      <c r="K37" s="122"/>
      <c r="L37" s="122"/>
      <c r="M37" s="122"/>
      <c r="N37" s="123">
        <f>(K33*G14)</f>
        <v>0</v>
      </c>
      <c r="O37" s="95"/>
    </row>
    <row r="38" spans="2:17">
      <c r="B38" s="65"/>
      <c r="C38" s="65"/>
      <c r="D38" s="85"/>
      <c r="E38" s="146"/>
      <c r="F38" s="146"/>
      <c r="G38" s="86" t="s">
        <v>185</v>
      </c>
      <c r="H38" s="87"/>
      <c r="I38" s="80"/>
      <c r="J38" s="66"/>
      <c r="K38" s="122"/>
      <c r="L38" s="122"/>
      <c r="M38" s="122"/>
      <c r="N38" s="123">
        <f>N53</f>
        <v>0</v>
      </c>
      <c r="O38" s="95"/>
    </row>
    <row r="39" spans="2:17">
      <c r="B39" s="65"/>
      <c r="C39" s="65"/>
      <c r="D39" s="85"/>
      <c r="E39" s="145"/>
      <c r="F39" s="145"/>
      <c r="G39" s="597" t="s">
        <v>186</v>
      </c>
      <c r="H39" s="598"/>
      <c r="I39" s="66"/>
      <c r="J39" s="66"/>
      <c r="K39" s="66"/>
      <c r="L39" s="66"/>
      <c r="M39" s="66"/>
      <c r="N39" s="124">
        <f>N36+N37+N38</f>
        <v>6000</v>
      </c>
      <c r="O39" s="95"/>
    </row>
    <row r="40" spans="2:17">
      <c r="D40" s="88"/>
      <c r="E40" s="88"/>
      <c r="F40" s="88"/>
      <c r="G40" s="589"/>
      <c r="H40" s="589"/>
      <c r="I40" s="90"/>
      <c r="J40" s="90"/>
      <c r="K40" s="125"/>
      <c r="L40" s="125"/>
      <c r="M40" s="125"/>
      <c r="N40" s="126"/>
      <c r="O40" s="127"/>
    </row>
    <row r="41" spans="2:17">
      <c r="D41" s="91"/>
      <c r="E41" s="91"/>
      <c r="F41" s="91"/>
      <c r="M41" t="s">
        <v>196</v>
      </c>
    </row>
    <row r="42" spans="2:17">
      <c r="B42" s="590" t="s">
        <v>187</v>
      </c>
      <c r="C42" s="590"/>
      <c r="D42" s="590"/>
      <c r="E42" s="590"/>
      <c r="F42" s="590"/>
      <c r="G42" s="590"/>
      <c r="H42" s="590"/>
      <c r="I42" s="590"/>
      <c r="J42" s="590"/>
      <c r="K42" s="590"/>
      <c r="L42" s="590"/>
      <c r="M42" s="590"/>
      <c r="N42" s="590"/>
    </row>
    <row r="43" spans="2:17">
      <c r="D43" s="91"/>
      <c r="E43" s="91"/>
      <c r="F43" s="91"/>
    </row>
    <row r="44" spans="2:17">
      <c r="D44" s="91" t="s">
        <v>188</v>
      </c>
      <c r="E44" s="91"/>
      <c r="F44" s="91"/>
      <c r="N44" s="95"/>
    </row>
    <row r="45" spans="2:17">
      <c r="D45" s="54" t="s">
        <v>10</v>
      </c>
      <c r="E45" s="54"/>
      <c r="F45" s="54"/>
      <c r="G45" s="54" t="s">
        <v>11</v>
      </c>
      <c r="H45" s="54" t="s">
        <v>12</v>
      </c>
      <c r="I45" s="55" t="s">
        <v>13</v>
      </c>
    </row>
    <row r="46" spans="2:17">
      <c r="D46" s="56">
        <v>2024</v>
      </c>
      <c r="E46" s="56"/>
      <c r="F46" s="56"/>
      <c r="G46" s="56" t="s">
        <v>276</v>
      </c>
      <c r="H46" s="56">
        <v>25</v>
      </c>
      <c r="I46" s="56" t="s">
        <v>15</v>
      </c>
    </row>
    <row r="47" spans="2:17">
      <c r="D47" s="57"/>
      <c r="E47" s="57"/>
      <c r="F47" s="57"/>
      <c r="G47" s="57"/>
    </row>
    <row r="48" spans="2:17" ht="33.75">
      <c r="D48" s="159" t="s">
        <v>16</v>
      </c>
      <c r="E48" s="159"/>
      <c r="F48" s="159"/>
      <c r="G48" s="159" t="s">
        <v>17</v>
      </c>
      <c r="H48" s="159" t="s">
        <v>18</v>
      </c>
      <c r="I48" s="159" t="s">
        <v>19</v>
      </c>
    </row>
    <row r="49" spans="3:14">
      <c r="D49" s="61">
        <v>0.33333333333333298</v>
      </c>
      <c r="E49" s="61"/>
      <c r="F49" s="61"/>
      <c r="G49" s="62">
        <v>10</v>
      </c>
      <c r="H49" s="63">
        <f>D14</f>
        <v>62.5</v>
      </c>
      <c r="I49" s="130">
        <f>(H49*30%)+H49</f>
        <v>81.25</v>
      </c>
    </row>
    <row r="51" spans="3:14">
      <c r="C51" s="131" t="s">
        <v>20</v>
      </c>
      <c r="D51" s="131" t="s">
        <v>12</v>
      </c>
      <c r="E51" s="131"/>
      <c r="F51" s="131"/>
      <c r="G51" s="131" t="s">
        <v>21</v>
      </c>
      <c r="H51" s="131" t="s">
        <v>22</v>
      </c>
      <c r="I51" s="131" t="s">
        <v>23</v>
      </c>
      <c r="J51" s="131" t="s">
        <v>24</v>
      </c>
      <c r="K51" s="131" t="s">
        <v>25</v>
      </c>
      <c r="L51" s="131"/>
      <c r="M51" s="131"/>
      <c r="N51" s="131" t="s">
        <v>26</v>
      </c>
    </row>
    <row r="52" spans="3:14">
      <c r="C52" s="70" t="s">
        <v>324</v>
      </c>
      <c r="D52" s="71">
        <v>25</v>
      </c>
      <c r="E52" s="71"/>
      <c r="F52" s="71"/>
      <c r="G52" s="72">
        <v>0</v>
      </c>
      <c r="H52" s="72">
        <v>0</v>
      </c>
      <c r="I52" s="73">
        <v>0</v>
      </c>
      <c r="J52" s="73">
        <f>IFERROR(IF(AND(G52&lt;&gt;"",H52&lt;&gt;""),IF(G52&gt;$B$14+TIME($C$14,($C$14-INT($C$14))*60,0),0,IF(H52&gt;$B$14+TIME($C$14,($C$14-INT($C$14))*60,0),MIN(TIME($C$14,($C$14-INT($C$14))*60,0),($B$14+TIME($C$14,($C$14-INT($C$14))*60,0)-G52)),MIN(IF((H52-$B$14)&lt;0,0,(H52-$B$14)),(H52-G52))))*24,"")-I52,"")</f>
        <v>0</v>
      </c>
      <c r="K52" s="73">
        <f>IF(AND(G52&lt;&gt;"",H52&lt;&gt;""),((IF(G52&lt;$D$49,MIN($D$49-G52,H52-G52),0)+IF(H52&gt;$D$49+TIME($G$49,($G$49-INT($G$49))*60,0),MIN((H52-$D$49-TIME($G$49,($G$49-INT($G$49))*60,0)),(H52-G52)),0))*24),"")</f>
        <v>0</v>
      </c>
      <c r="L52" s="73"/>
      <c r="M52" s="73"/>
      <c r="N52" s="99">
        <f>J52*H49</f>
        <v>0</v>
      </c>
    </row>
    <row r="53" spans="3:14"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318">
        <f>SUM(N52:N52)</f>
        <v>0</v>
      </c>
    </row>
    <row r="54" spans="3:14">
      <c r="N54" s="324"/>
    </row>
    <row r="55" spans="3:14">
      <c r="N55" s="324"/>
    </row>
    <row r="56" spans="3:14">
      <c r="N56" s="138"/>
    </row>
    <row r="57" spans="3:14">
      <c r="N57" s="138"/>
    </row>
    <row r="58" spans="3:14">
      <c r="N58" s="138"/>
    </row>
    <row r="59" spans="3:14">
      <c r="C59" s="132" t="s">
        <v>190</v>
      </c>
      <c r="D59" s="132"/>
      <c r="N59" s="138"/>
    </row>
    <row r="60" spans="3:14">
      <c r="N60" s="138"/>
    </row>
    <row r="61" spans="3:14">
      <c r="C61" s="591">
        <v>44981</v>
      </c>
      <c r="D61" s="591"/>
      <c r="E61" s="591"/>
      <c r="F61" s="88"/>
      <c r="G61" s="148" t="s">
        <v>280</v>
      </c>
      <c r="H61" s="254"/>
      <c r="N61" s="138"/>
    </row>
    <row r="62" spans="3:14">
      <c r="D62" s="88"/>
      <c r="E62" s="88"/>
      <c r="F62" s="256">
        <f>F61*G62</f>
        <v>0</v>
      </c>
      <c r="G62" s="253">
        <v>0.3</v>
      </c>
      <c r="H62" s="254"/>
      <c r="N62" s="138"/>
    </row>
    <row r="63" spans="3:14">
      <c r="D63" s="91"/>
      <c r="E63" s="91"/>
      <c r="F63" s="91"/>
      <c r="N63" s="138"/>
    </row>
    <row r="64" spans="3:14">
      <c r="D64" s="91"/>
      <c r="E64" s="91"/>
      <c r="F64" s="91"/>
      <c r="G64" s="257">
        <f>F62</f>
        <v>0</v>
      </c>
      <c r="N64" s="138"/>
    </row>
    <row r="65" spans="3:9">
      <c r="D65" s="132"/>
      <c r="E65" s="132"/>
      <c r="F65" s="132"/>
      <c r="G65" s="133"/>
      <c r="H65" s="133"/>
      <c r="I65" s="133"/>
    </row>
    <row r="66" spans="3:9">
      <c r="D66" s="132"/>
      <c r="E66" s="132"/>
      <c r="F66" s="132"/>
      <c r="G66" s="133"/>
      <c r="H66" s="133"/>
      <c r="I66" s="133"/>
    </row>
    <row r="67" spans="3:9">
      <c r="F67" s="132"/>
      <c r="G67" s="133"/>
      <c r="H67" s="133"/>
      <c r="I67" s="133"/>
    </row>
    <row r="68" spans="3:9">
      <c r="G68" s="606"/>
      <c r="H68" s="606"/>
    </row>
    <row r="71" spans="3:9">
      <c r="C71" s="91" t="s">
        <v>141</v>
      </c>
    </row>
    <row r="72" spans="3:9">
      <c r="C72" t="s">
        <v>66</v>
      </c>
    </row>
    <row r="73" spans="3:9">
      <c r="C73" s="91"/>
    </row>
  </sheetData>
  <mergeCells count="13">
    <mergeCell ref="G33:H33"/>
    <mergeCell ref="A6:N6"/>
    <mergeCell ref="C7:D7"/>
    <mergeCell ref="M7:O7"/>
    <mergeCell ref="C8:D8"/>
    <mergeCell ref="M8:O8"/>
    <mergeCell ref="G68:H68"/>
    <mergeCell ref="G35:H35"/>
    <mergeCell ref="G37:H37"/>
    <mergeCell ref="G39:H39"/>
    <mergeCell ref="G40:H40"/>
    <mergeCell ref="B42:N42"/>
    <mergeCell ref="C61:E61"/>
  </mergeCells>
  <conditionalFormatting sqref="C17:D17">
    <cfRule type="expression" dxfId="75" priority="4">
      <formula>ISNUMBER(SEARCH(TEXT($B17,"ddd"),$F$10))</formula>
    </cfRule>
  </conditionalFormatting>
  <conditionalFormatting sqref="C18:D18 C19:E19 C20:L32 C52:N52">
    <cfRule type="expression" dxfId="74" priority="6">
      <formula>ISNUMBER(SEARCH(TEXT($C18,"ddd"),$G$11))</formula>
    </cfRule>
  </conditionalFormatting>
  <conditionalFormatting sqref="E17:E18">
    <cfRule type="expression" dxfId="73" priority="2">
      <formula>ISNUMBER(SEARCH(TEXT($C17,"ddd"),$G$11))</formula>
    </cfRule>
  </conditionalFormatting>
  <conditionalFormatting sqref="F17:L19">
    <cfRule type="expression" dxfId="72" priority="1">
      <formula>ISNUMBER(SEARCH(TEXT($C17,"ddd"),$G$11))</formula>
    </cfRule>
  </conditionalFormatting>
  <conditionalFormatting sqref="N17:N32">
    <cfRule type="expression" dxfId="71" priority="3">
      <formula>ISNUMBER(SEARCH(TEXT($B17,"ddd"),$F$10))</formula>
    </cfRule>
  </conditionalFormatting>
  <dataValidations count="5">
    <dataValidation type="list" allowBlank="1" showInputMessage="1" showErrorMessage="1" sqref="E11:F11" xr:uid="{00000000-0002-0000-2D00-000000000000}">
      <formula1>BECARO!DateCalc</formula1>
    </dataValidation>
    <dataValidation type="custom" allowBlank="1" showInputMessage="1" showErrorMessage="1" sqref="E17:G32 G52" xr:uid="{00000000-0002-0000-2D00-000001000000}">
      <formula1>AND($G17&lt;=1,ISNUMBER($G17))</formula1>
    </dataValidation>
    <dataValidation type="custom" allowBlank="1" showInputMessage="1" showErrorMessage="1" sqref="H52 H17:H32" xr:uid="{00000000-0002-0000-2D00-000002000000}">
      <formula1>AND($H17&lt;=1,ISNUMBER($H17),($H17&gt;=$G17))</formula1>
    </dataValidation>
    <dataValidation type="list" allowBlank="1" showInputMessage="1" showErrorMessage="1" sqref="D11 H46" xr:uid="{00000000-0002-0000-2D00-000003000000}">
      <formula1>DateCalc</formula1>
    </dataValidation>
    <dataValidation type="list" allowBlank="1" showInputMessage="1" showErrorMessage="1" sqref="G11" xr:uid="{00000000-0002-0000-2D00-000004000000}"/>
  </dataValidations>
  <pageMargins left="1.07083333333333" right="0.25" top="0.359722222222222" bottom="0.39791666666666697" header="0.29861111111111099" footer="0.29861111111111099"/>
  <pageSetup paperSize="9" scale="91" orientation="landscape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88097" r:id="rId4" name="Check Box 1">
              <controlPr defaultSize="0" print="0" autoPict="0">
                <anchor moveWithCells="1">
                  <from>
                    <xdr:col>7</xdr:col>
                    <xdr:colOff>180975</xdr:colOff>
                    <xdr:row>9</xdr:row>
                    <xdr:rowOff>28575</xdr:rowOff>
                  </from>
                  <to>
                    <xdr:col>8</xdr:col>
                    <xdr:colOff>571500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2D00-000005000000}">
          <x14:formula1>
            <xm:f>Data!$B$2:$B$13</xm:f>
          </x14:formula1>
          <xm:sqref>C11 G46</xm:sqref>
        </x14:dataValidation>
        <x14:dataValidation type="list" allowBlank="1" showInputMessage="1" showErrorMessage="1" xr:uid="{00000000-0002-0000-2D00-000006000000}">
          <x14:formula1>
            <xm:f>Data!$A$2:$A$12</xm:f>
          </x14:formula1>
          <xm:sqref>B11 D46:F46</xm:sqref>
        </x14:dataValidation>
        <x14:dataValidation type="list" allowBlank="1" showInputMessage="1" showErrorMessage="1" xr:uid="{00000000-0002-0000-2D00-000007000000}">
          <x14:formula1>
            <xm:f>Data!$D$2:$D$16</xm:f>
          </x14:formula1>
          <xm:sqref>I46</xm:sqref>
        </x14:dataValidation>
      </x14:dataValidation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3:AH72"/>
  <sheetViews>
    <sheetView showGridLines="0" view="pageLayout" topLeftCell="A8" zoomScaleNormal="100" workbookViewId="0">
      <selection activeCell="N20" sqref="N20"/>
    </sheetView>
  </sheetViews>
  <sheetFormatPr defaultColWidth="9" defaultRowHeight="12.75"/>
  <cols>
    <col min="1" max="1" width="1.625" customWidth="1"/>
    <col min="2" max="2" width="5.375" customWidth="1"/>
    <col min="3" max="3" width="7.125" customWidth="1"/>
    <col min="4" max="6" width="7.625" customWidth="1"/>
    <col min="7" max="7" width="10.125" customWidth="1"/>
    <col min="8" max="8" width="9.625" customWidth="1"/>
    <col min="9" max="9" width="8.125" customWidth="1"/>
    <col min="10" max="11" width="10.125" customWidth="1"/>
    <col min="12" max="12" width="11.125" customWidth="1"/>
    <col min="13" max="13" width="10.5" customWidth="1"/>
    <col min="14" max="14" width="12.625" customWidth="1"/>
    <col min="15" max="15" width="16.875" customWidth="1"/>
  </cols>
  <sheetData>
    <row r="3" spans="1:21" ht="25.5" customHeight="1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</row>
    <row r="4" spans="1:21" s="47" customFormat="1" ht="25.5" customHeight="1">
      <c r="A4" s="603"/>
      <c r="B4" s="603"/>
      <c r="C4" s="603"/>
      <c r="D4" s="603"/>
      <c r="E4" s="603"/>
      <c r="F4" s="603"/>
      <c r="G4" s="603"/>
      <c r="H4" s="603"/>
      <c r="I4" s="603"/>
      <c r="J4" s="603"/>
      <c r="K4" s="603"/>
      <c r="L4" s="603"/>
      <c r="M4" s="603"/>
      <c r="N4" s="603"/>
    </row>
    <row r="5" spans="1:21" ht="18.75" customHeight="1">
      <c r="C5" s="49"/>
      <c r="D5" s="49"/>
      <c r="E5" s="49"/>
      <c r="F5" s="49"/>
      <c r="G5" s="91"/>
      <c r="J5" s="49"/>
      <c r="L5" s="148"/>
      <c r="M5" s="148"/>
      <c r="N5" s="148"/>
    </row>
    <row r="6" spans="1:21" ht="18.75" customHeight="1">
      <c r="C6" s="527" t="s">
        <v>3</v>
      </c>
      <c r="D6" s="527"/>
      <c r="E6" s="49"/>
      <c r="F6" s="49"/>
      <c r="G6" s="50" t="s">
        <v>308</v>
      </c>
      <c r="H6" s="51"/>
      <c r="K6" s="49" t="s">
        <v>174</v>
      </c>
      <c r="L6" s="91" t="str">
        <f>PAALAN!L7</f>
        <v>September  11-25, 2026</v>
      </c>
      <c r="M6" s="91"/>
      <c r="N6" s="91"/>
    </row>
    <row r="7" spans="1:21" ht="18.75" customHeight="1">
      <c r="C7" s="527" t="s">
        <v>175</v>
      </c>
      <c r="D7" s="527"/>
      <c r="E7" s="49"/>
      <c r="F7" s="49"/>
      <c r="G7" s="50" t="s">
        <v>86</v>
      </c>
      <c r="H7" s="51"/>
      <c r="K7" s="49" t="s">
        <v>176</v>
      </c>
      <c r="L7" s="610" t="str">
        <f>PAALAN!L8</f>
        <v>9/31/2026</v>
      </c>
      <c r="M7" s="610"/>
      <c r="N7" s="92"/>
    </row>
    <row r="8" spans="1:21">
      <c r="C8" s="52"/>
      <c r="D8" s="53"/>
      <c r="E8" s="53"/>
      <c r="F8" s="53"/>
      <c r="G8" s="53"/>
    </row>
    <row r="9" spans="1:21">
      <c r="B9" s="54" t="s">
        <v>10</v>
      </c>
      <c r="C9" s="54" t="s">
        <v>11</v>
      </c>
      <c r="D9" s="54" t="s">
        <v>12</v>
      </c>
      <c r="E9" s="54"/>
      <c r="F9" s="54"/>
      <c r="G9" s="55" t="s">
        <v>13</v>
      </c>
    </row>
    <row r="10" spans="1:21">
      <c r="B10" s="56">
        <v>2025</v>
      </c>
      <c r="C10" s="56" t="s">
        <v>262</v>
      </c>
      <c r="D10" s="56">
        <v>11</v>
      </c>
      <c r="E10" s="56"/>
      <c r="F10" s="56"/>
      <c r="G10" s="56" t="s">
        <v>178</v>
      </c>
    </row>
    <row r="11" spans="1:21">
      <c r="B11" s="57"/>
      <c r="C11" s="57"/>
      <c r="H11" s="57"/>
      <c r="K11" s="57"/>
      <c r="L11" s="57"/>
      <c r="M11" s="57"/>
    </row>
    <row r="12" spans="1:21" ht="32.1" customHeight="1">
      <c r="B12" s="58" t="s">
        <v>16</v>
      </c>
      <c r="C12" s="58" t="s">
        <v>17</v>
      </c>
      <c r="D12" s="58" t="s">
        <v>18</v>
      </c>
      <c r="E12" s="59"/>
      <c r="F12" s="59"/>
      <c r="G12" s="59" t="s">
        <v>19</v>
      </c>
      <c r="H12" s="60" t="s">
        <v>179</v>
      </c>
      <c r="L12" s="93"/>
      <c r="M12" s="93"/>
      <c r="N12" s="94"/>
      <c r="O12" s="58" t="s">
        <v>16</v>
      </c>
      <c r="P12" s="58" t="s">
        <v>17</v>
      </c>
      <c r="Q12" s="58" t="s">
        <v>18</v>
      </c>
      <c r="R12" s="59"/>
      <c r="S12" s="59"/>
      <c r="T12" s="59" t="s">
        <v>19</v>
      </c>
      <c r="U12" s="60" t="s">
        <v>179</v>
      </c>
    </row>
    <row r="13" spans="1:21">
      <c r="B13" s="61">
        <v>0.33333333333333298</v>
      </c>
      <c r="C13" s="62">
        <v>10</v>
      </c>
      <c r="D13" s="63">
        <f>(14387.86/26)/8</f>
        <v>69.172403846153856</v>
      </c>
      <c r="E13" s="142"/>
      <c r="F13" s="142"/>
      <c r="G13" s="64">
        <f>(D13*25%)+D13</f>
        <v>86.465504807692326</v>
      </c>
      <c r="H13" s="65">
        <v>99</v>
      </c>
      <c r="L13" s="57"/>
      <c r="M13" s="57"/>
      <c r="N13" s="95"/>
      <c r="O13" s="61">
        <v>0.33333333333333298</v>
      </c>
      <c r="P13" s="62">
        <v>10</v>
      </c>
      <c r="Q13" s="63">
        <f>(13387.86/26)/8</f>
        <v>64.364711538461535</v>
      </c>
      <c r="R13" s="142"/>
      <c r="S13" s="142"/>
      <c r="T13" s="64">
        <f>(Q13*25%)+Q13</f>
        <v>80.455889423076911</v>
      </c>
      <c r="U13" s="65">
        <v>105</v>
      </c>
    </row>
    <row r="14" spans="1:21">
      <c r="N14" s="96"/>
    </row>
    <row r="15" spans="1:21" ht="23.25">
      <c r="B15" s="66"/>
      <c r="C15" s="67" t="s">
        <v>20</v>
      </c>
      <c r="D15" s="67" t="s">
        <v>12</v>
      </c>
      <c r="E15" s="67"/>
      <c r="F15" s="67"/>
      <c r="G15" s="67" t="s">
        <v>21</v>
      </c>
      <c r="H15" s="67" t="s">
        <v>22</v>
      </c>
      <c r="I15" s="68" t="s">
        <v>23</v>
      </c>
      <c r="J15" s="68" t="s">
        <v>24</v>
      </c>
      <c r="K15" s="68" t="s">
        <v>25</v>
      </c>
      <c r="L15" s="67" t="s">
        <v>180</v>
      </c>
      <c r="M15" s="134" t="s">
        <v>181</v>
      </c>
      <c r="N15" s="67" t="s">
        <v>26</v>
      </c>
    </row>
    <row r="16" spans="1:21">
      <c r="B16" s="69">
        <v>1</v>
      </c>
      <c r="C16" s="70">
        <f>DATE($B$10,MATCH($C$10,Data!$B$2:$B$13,0),ESTARES!$D$10)</f>
        <v>45668</v>
      </c>
      <c r="D16" s="71">
        <f>DATE($B$10,MATCH($C$10,Data!$B$2:$B$13,0),ESTARES!$D$10)</f>
        <v>45668</v>
      </c>
      <c r="E16" s="72">
        <v>0.38194444444444442</v>
      </c>
      <c r="F16" s="72">
        <v>6.9444444444444441E-3</v>
      </c>
      <c r="G16" s="72">
        <f t="shared" ref="G16:G30" si="0">E16-F16</f>
        <v>0.375</v>
      </c>
      <c r="H16" s="72">
        <v>0.5</v>
      </c>
      <c r="I16" s="73">
        <v>0</v>
      </c>
      <c r="J16" s="73">
        <f t="shared" ref="J16:J30" si="1">IFERROR(IF(AND(G16&lt;&gt;"",H16&lt;&gt;""),IF(G16&gt;$B$13+TIME($C$13,($C$13-INT($C$13))*60,0),0,IF(H16&gt;$B$13+TIME($C$13,($C$13-INT($C$13))*60,0),MIN(TIME($C$13,($C$13-INT($C$13))*60,0),($B$13+TIME($C$13,($C$13-INT($C$13))*60,0)-G16)),MIN(IF((H16-$B$13)&lt;0,0,(H16-$B$13)),(H16-G16))))*24,"")-I16,"")</f>
        <v>3</v>
      </c>
      <c r="K16" s="73">
        <f t="shared" ref="K16:K30" si="2">IF(AND(G16&lt;&gt;"",H16&lt;&gt;""),((IF(G16&lt;$B$13,MIN($B$13-G16,H16-G16),0)+IF(H16&gt;$B$13+TIME($C$13,($C$13-INT($C$13))*60,0),MIN((H16-$B$13-TIME($C$13,($C$13-INT($C$13))*60,0)),(H16-G16)),0))*24),"")</f>
        <v>0</v>
      </c>
      <c r="L16" s="101">
        <v>0</v>
      </c>
      <c r="M16" s="102">
        <f>(D13/60)*0</f>
        <v>0</v>
      </c>
      <c r="N16" s="99">
        <f>IFERROR(J16*IF(AND(ISNUMBER(SEARCH(TEXT(C16,"ddd"),$G$10)),Data!$F$2),$G$13,$D$13)+K16*$G$13,"")</f>
        <v>207.51721153846157</v>
      </c>
      <c r="O16" s="100"/>
      <c r="P16" s="89"/>
      <c r="Q16" s="89"/>
    </row>
    <row r="17" spans="2:34">
      <c r="B17" s="69"/>
      <c r="C17" s="70">
        <f t="shared" ref="C17:D30" si="3">C16+1</f>
        <v>45669</v>
      </c>
      <c r="D17" s="71">
        <f t="shared" si="3"/>
        <v>45669</v>
      </c>
      <c r="E17" s="72">
        <v>0</v>
      </c>
      <c r="F17" s="72">
        <v>0</v>
      </c>
      <c r="G17" s="72">
        <f t="shared" si="0"/>
        <v>0</v>
      </c>
      <c r="H17" s="72">
        <v>0</v>
      </c>
      <c r="I17" s="73">
        <v>0</v>
      </c>
      <c r="J17" s="73">
        <f t="shared" si="1"/>
        <v>0</v>
      </c>
      <c r="K17" s="73">
        <f t="shared" si="2"/>
        <v>0</v>
      </c>
      <c r="L17" s="97">
        <v>0</v>
      </c>
      <c r="M17" s="98">
        <f>(D13/60)*0</f>
        <v>0</v>
      </c>
      <c r="N17" s="99">
        <f>IFERROR(J17*IF(AND(ISNUMBER(SEARCH(TEXT(C17,"ddd"),$G$10)),Data!$F$2),$G$13,$D$13)+K17*$G$13,"")</f>
        <v>0</v>
      </c>
      <c r="O17" s="89"/>
      <c r="P17" s="89"/>
      <c r="Q17" s="89"/>
    </row>
    <row r="18" spans="2:34">
      <c r="B18" s="69">
        <v>2</v>
      </c>
      <c r="C18" s="70">
        <f t="shared" si="3"/>
        <v>45670</v>
      </c>
      <c r="D18" s="71">
        <f t="shared" si="3"/>
        <v>45670</v>
      </c>
      <c r="E18" s="72">
        <v>0.34375</v>
      </c>
      <c r="F18" s="72">
        <v>6.9444444444444441E-3</v>
      </c>
      <c r="G18" s="72">
        <f t="shared" si="0"/>
        <v>0.33680555555555558</v>
      </c>
      <c r="H18" s="72">
        <v>0.75</v>
      </c>
      <c r="I18" s="73">
        <v>1</v>
      </c>
      <c r="J18" s="73">
        <f t="shared" si="1"/>
        <v>8.9166666666666661</v>
      </c>
      <c r="K18" s="73">
        <f t="shared" si="2"/>
        <v>0</v>
      </c>
      <c r="L18" s="101">
        <f>G18-B13</f>
        <v>3.4722222222225985E-3</v>
      </c>
      <c r="M18" s="102">
        <f>(D13/60)*5</f>
        <v>5.7643669871794874</v>
      </c>
      <c r="N18" s="99">
        <f>IFERROR(J18*IF(AND(ISNUMBER(SEARCH(TEXT(C18,"ddd"),$G$10)),Data!$F$2),$G$13,$D$13)+K18*$G$13,"")</f>
        <v>616.7872676282052</v>
      </c>
      <c r="O18" s="106"/>
      <c r="P18" s="104"/>
      <c r="Q18" s="104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</row>
    <row r="19" spans="2:34">
      <c r="B19" s="69">
        <v>3</v>
      </c>
      <c r="C19" s="70">
        <f t="shared" si="3"/>
        <v>45671</v>
      </c>
      <c r="D19" s="71">
        <f t="shared" si="3"/>
        <v>45671</v>
      </c>
      <c r="E19" s="72">
        <v>0.3444444444444445</v>
      </c>
      <c r="F19" s="72">
        <v>6.9444444444444441E-3</v>
      </c>
      <c r="G19" s="72">
        <f t="shared" si="0"/>
        <v>0.33750000000000008</v>
      </c>
      <c r="H19" s="72">
        <v>0.75</v>
      </c>
      <c r="I19" s="73">
        <v>1</v>
      </c>
      <c r="J19" s="73">
        <f t="shared" si="1"/>
        <v>8.8999999999999986</v>
      </c>
      <c r="K19" s="73">
        <v>0</v>
      </c>
      <c r="L19" s="101">
        <f>G19-B13</f>
        <v>4.166666666667096E-3</v>
      </c>
      <c r="M19" s="102">
        <f>(D13/60)*6</f>
        <v>6.9172403846153854</v>
      </c>
      <c r="N19" s="111">
        <f>IFERROR(J19*IF(AND(ISNUMBER(SEARCH(TEXT(C19,"ddd"),$G$10)),Data!$F$2),$G$13,$D$13)+K19*$G$13,"")</f>
        <v>615.6343942307692</v>
      </c>
      <c r="O19" s="106"/>
      <c r="P19" s="103"/>
      <c r="Q19" s="103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28"/>
    </row>
    <row r="20" spans="2:34">
      <c r="B20" s="69">
        <v>4</v>
      </c>
      <c r="C20" s="70">
        <f t="shared" si="3"/>
        <v>45672</v>
      </c>
      <c r="D20" s="71">
        <f t="shared" si="3"/>
        <v>45672</v>
      </c>
      <c r="E20" s="72">
        <v>0.34027777777777773</v>
      </c>
      <c r="F20" s="72">
        <v>6.9444444444444441E-3</v>
      </c>
      <c r="G20" s="72">
        <f t="shared" si="0"/>
        <v>0.33333333333333331</v>
      </c>
      <c r="H20" s="72">
        <v>0.75</v>
      </c>
      <c r="I20" s="73">
        <v>1</v>
      </c>
      <c r="J20" s="73">
        <f t="shared" si="1"/>
        <v>9</v>
      </c>
      <c r="K20" s="73">
        <f t="shared" si="2"/>
        <v>0</v>
      </c>
      <c r="L20" s="101">
        <f>G20-B13</f>
        <v>0</v>
      </c>
      <c r="M20" s="102">
        <f>(D13/60)*0</f>
        <v>0</v>
      </c>
      <c r="N20" s="111">
        <f>IFERROR(J20*IF(AND(ISNUMBER(SEARCH(TEXT(C20,"ddd"),$G$10)),Data!$F$2),$D$13,$D$13)+K20*$D$13,"")</f>
        <v>622.55163461538473</v>
      </c>
      <c r="O20" s="107"/>
      <c r="P20" s="108"/>
      <c r="Q20" s="108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4"/>
    </row>
    <row r="21" spans="2:34">
      <c r="B21" s="69">
        <v>5</v>
      </c>
      <c r="C21" s="70">
        <f t="shared" si="3"/>
        <v>45673</v>
      </c>
      <c r="D21" s="71">
        <f t="shared" si="3"/>
        <v>45673</v>
      </c>
      <c r="E21" s="72">
        <v>0.34027777777777773</v>
      </c>
      <c r="F21" s="72">
        <v>6.9444444444444441E-3</v>
      </c>
      <c r="G21" s="72">
        <f t="shared" si="0"/>
        <v>0.33333333333333331</v>
      </c>
      <c r="H21" s="72">
        <v>0.75</v>
      </c>
      <c r="I21" s="73">
        <v>1</v>
      </c>
      <c r="J21" s="73">
        <f t="shared" si="1"/>
        <v>9</v>
      </c>
      <c r="K21" s="73">
        <f t="shared" si="2"/>
        <v>0</v>
      </c>
      <c r="L21" s="101">
        <f>G21-B13</f>
        <v>0</v>
      </c>
      <c r="M21" s="102">
        <f>(D13/60)*0</f>
        <v>0</v>
      </c>
      <c r="N21" s="111">
        <f>IFERROR(J21*IF(AND(ISNUMBER(SEARCH(TEXT(C21,"ddd"),$G$10)),Data!$F$2),$D$13,$D$13)+K21*$D$13,"")</f>
        <v>622.55163461538473</v>
      </c>
      <c r="O21" s="601"/>
      <c r="P21" s="602"/>
      <c r="Q21" s="602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4"/>
    </row>
    <row r="22" spans="2:34">
      <c r="B22" s="69">
        <v>6</v>
      </c>
      <c r="C22" s="70">
        <f t="shared" si="3"/>
        <v>45674</v>
      </c>
      <c r="D22" s="71">
        <f t="shared" si="3"/>
        <v>45674</v>
      </c>
      <c r="E22" s="72">
        <v>0.34166666666666662</v>
      </c>
      <c r="F22" s="72">
        <v>6.9444444444444441E-3</v>
      </c>
      <c r="G22" s="72">
        <f t="shared" si="0"/>
        <v>0.3347222222222222</v>
      </c>
      <c r="H22" s="72">
        <v>0.75</v>
      </c>
      <c r="I22" s="73">
        <v>1</v>
      </c>
      <c r="J22" s="73">
        <f t="shared" si="1"/>
        <v>8.9666666666666668</v>
      </c>
      <c r="K22" s="73">
        <f t="shared" ref="K22" si="4">IF(AND(G22&lt;&gt;"",H22&lt;&gt;""),((IF(G22&lt;$B$13,MIN($B$13-G22,H22-G22),0)+IF(H22&gt;$B$13+TIME($C$13,($C$13-INT($C$13))*60,0),MIN((H22-$B$13-TIME($C$13,($C$13-INT($C$13))*60,0)),(H22-G22)),0))*24),"")</f>
        <v>0</v>
      </c>
      <c r="L22" s="101">
        <f>G22-B13</f>
        <v>1.388888888889217E-3</v>
      </c>
      <c r="M22" s="102">
        <f>(D13/60)*2</f>
        <v>2.3057467948717951</v>
      </c>
      <c r="N22" s="111">
        <f>IFERROR(J22*IF(AND(ISNUMBER(SEARCH(TEXT(C22,"ddd"),$G$10)),Data!$F$2),$G$13,$D$13)+K22*$G$13,"")</f>
        <v>620.24588782051296</v>
      </c>
      <c r="O22" s="89"/>
      <c r="P22" s="89"/>
      <c r="Q22" s="89"/>
    </row>
    <row r="23" spans="2:34">
      <c r="B23" s="69">
        <v>7</v>
      </c>
      <c r="C23" s="70">
        <f t="shared" si="3"/>
        <v>45675</v>
      </c>
      <c r="D23" s="71">
        <f t="shared" si="3"/>
        <v>45675</v>
      </c>
      <c r="E23" s="72">
        <v>0.38194444444444442</v>
      </c>
      <c r="F23" s="72">
        <v>6.9444444444444441E-3</v>
      </c>
      <c r="G23" s="72">
        <f t="shared" si="0"/>
        <v>0.375</v>
      </c>
      <c r="H23" s="72">
        <v>0.5</v>
      </c>
      <c r="I23" s="73">
        <v>0</v>
      </c>
      <c r="J23" s="73">
        <f t="shared" si="1"/>
        <v>3</v>
      </c>
      <c r="K23" s="73">
        <v>0</v>
      </c>
      <c r="L23" s="101">
        <v>0</v>
      </c>
      <c r="M23" s="102">
        <f>(D13/60)*0</f>
        <v>0</v>
      </c>
      <c r="N23" s="99">
        <f>IFERROR(J23*IF(AND(ISNUMBER(SEARCH(TEXT(C23,"ddd"),$G$10)),Data!$F$2),$G$13,$D$13)+K23*$G$13,"")</f>
        <v>207.51721153846157</v>
      </c>
      <c r="O23" s="89"/>
      <c r="P23" s="89"/>
      <c r="Q23" s="89"/>
    </row>
    <row r="24" spans="2:34">
      <c r="B24" s="69"/>
      <c r="C24" s="70">
        <f t="shared" si="3"/>
        <v>45676</v>
      </c>
      <c r="D24" s="71">
        <f t="shared" si="3"/>
        <v>45676</v>
      </c>
      <c r="E24" s="72">
        <v>0</v>
      </c>
      <c r="F24" s="72">
        <v>0</v>
      </c>
      <c r="G24" s="72">
        <f t="shared" si="0"/>
        <v>0</v>
      </c>
      <c r="H24" s="72">
        <v>0</v>
      </c>
      <c r="I24" s="329">
        <v>0</v>
      </c>
      <c r="J24" s="73">
        <f t="shared" si="1"/>
        <v>0</v>
      </c>
      <c r="K24" s="73">
        <f t="shared" si="2"/>
        <v>0</v>
      </c>
      <c r="L24" s="97">
        <v>0</v>
      </c>
      <c r="M24" s="98">
        <f>(D13/60)*0</f>
        <v>0</v>
      </c>
      <c r="N24" s="111">
        <f>IFERROR(J24*IF(AND(ISNUMBER(SEARCH(TEXT(C24,"ddd"),$G$10)),Data!$F$2),$G$13,$D$13)+K24*$G$13,"")</f>
        <v>0</v>
      </c>
      <c r="O24" s="89"/>
      <c r="P24" s="89"/>
      <c r="Q24" s="89"/>
    </row>
    <row r="25" spans="2:34">
      <c r="B25" s="69">
        <v>8</v>
      </c>
      <c r="C25" s="70">
        <f t="shared" si="3"/>
        <v>45677</v>
      </c>
      <c r="D25" s="71">
        <f>D24+1</f>
        <v>45677</v>
      </c>
      <c r="E25" s="72">
        <v>0.36805555555555558</v>
      </c>
      <c r="F25" s="72">
        <v>6.9444444444444441E-3</v>
      </c>
      <c r="G25" s="72">
        <f t="shared" si="0"/>
        <v>0.36111111111111116</v>
      </c>
      <c r="H25" s="72">
        <v>0.75</v>
      </c>
      <c r="I25" s="73">
        <v>1</v>
      </c>
      <c r="J25" s="73">
        <f t="shared" si="1"/>
        <v>8.3333333333333321</v>
      </c>
      <c r="K25" s="73">
        <f t="shared" si="2"/>
        <v>0</v>
      </c>
      <c r="L25" s="101">
        <f>G25-B13</f>
        <v>2.7777777777778179E-2</v>
      </c>
      <c r="M25" s="102">
        <f>(D13/60)*40</f>
        <v>46.114935897435899</v>
      </c>
      <c r="N25" s="111">
        <f>IFERROR(J25*IF(AND(ISNUMBER(SEARCH(TEXT(C25,"ddd"),$G$10)),Data!$F$2),$G$13,$D$13)+K25*$G$13,"")</f>
        <v>576.43669871794873</v>
      </c>
      <c r="O25" s="89"/>
      <c r="P25" s="89"/>
      <c r="Q25" s="89"/>
    </row>
    <row r="26" spans="2:34">
      <c r="B26" s="69">
        <v>9</v>
      </c>
      <c r="C26" s="70">
        <f t="shared" si="3"/>
        <v>45678</v>
      </c>
      <c r="D26" s="71">
        <f t="shared" si="3"/>
        <v>45678</v>
      </c>
      <c r="E26" s="72">
        <v>0.3520833333333333</v>
      </c>
      <c r="F26" s="72">
        <v>6.9444444444444441E-3</v>
      </c>
      <c r="G26" s="72">
        <f t="shared" si="0"/>
        <v>0.34513888888888888</v>
      </c>
      <c r="H26" s="72">
        <v>0.75</v>
      </c>
      <c r="I26" s="73">
        <v>1</v>
      </c>
      <c r="J26" s="73">
        <f t="shared" si="1"/>
        <v>8.7166666666666668</v>
      </c>
      <c r="K26" s="73">
        <f t="shared" si="2"/>
        <v>0</v>
      </c>
      <c r="L26" s="101">
        <f>G26-B13</f>
        <v>1.1805555555555902E-2</v>
      </c>
      <c r="M26" s="102">
        <f>(D13/60)*17</f>
        <v>19.598847756410258</v>
      </c>
      <c r="N26" s="99">
        <f>IFERROR(J26*IF(AND(ISNUMBER(SEARCH(TEXT(C26,"ddd"),$G$10)),Data!$F$2),$G$13,$D$13)+K26*$G$13,"")</f>
        <v>602.95278685897449</v>
      </c>
      <c r="O26" s="95"/>
    </row>
    <row r="27" spans="2:34">
      <c r="B27" s="69">
        <v>10</v>
      </c>
      <c r="C27" s="70">
        <f t="shared" si="3"/>
        <v>45679</v>
      </c>
      <c r="D27" s="71">
        <f t="shared" si="3"/>
        <v>45679</v>
      </c>
      <c r="E27" s="72">
        <v>0.35347222222222219</v>
      </c>
      <c r="F27" s="72">
        <v>6.9444444444444441E-3</v>
      </c>
      <c r="G27" s="72">
        <f t="shared" si="0"/>
        <v>0.34652777777777777</v>
      </c>
      <c r="H27" s="72">
        <v>0.75</v>
      </c>
      <c r="I27" s="73">
        <v>1</v>
      </c>
      <c r="J27" s="73">
        <f t="shared" si="1"/>
        <v>8.6833333333333336</v>
      </c>
      <c r="K27" s="73">
        <f t="shared" si="2"/>
        <v>0</v>
      </c>
      <c r="L27" s="101">
        <f>G27-B13</f>
        <v>1.3194444444444786E-2</v>
      </c>
      <c r="M27" s="102">
        <f>(D13/60)*19</f>
        <v>21.904594551282052</v>
      </c>
      <c r="N27" s="111">
        <f>IFERROR(J27*IF(AND(ISNUMBER(SEARCH(TEXT(C27,"ddd"),$G$10)),Data!$F$2),$G$13,$D$13)+K27*$G$13,"")</f>
        <v>600.64704006410261</v>
      </c>
    </row>
    <row r="28" spans="2:34">
      <c r="B28" s="69">
        <v>11</v>
      </c>
      <c r="C28" s="70">
        <f t="shared" si="3"/>
        <v>45680</v>
      </c>
      <c r="D28" s="71">
        <f t="shared" si="3"/>
        <v>45680</v>
      </c>
      <c r="E28" s="72">
        <v>0.34791666666666665</v>
      </c>
      <c r="F28" s="72">
        <v>6.9444444444444441E-3</v>
      </c>
      <c r="G28" s="72">
        <f t="shared" si="0"/>
        <v>0.34097222222222223</v>
      </c>
      <c r="H28" s="72">
        <v>0.75</v>
      </c>
      <c r="I28" s="73">
        <v>1</v>
      </c>
      <c r="J28" s="73">
        <f t="shared" si="1"/>
        <v>8.8166666666666664</v>
      </c>
      <c r="K28" s="73">
        <f t="shared" si="2"/>
        <v>0</v>
      </c>
      <c r="L28" s="101">
        <f>G28-B13</f>
        <v>7.6388888888892503E-3</v>
      </c>
      <c r="M28" s="102">
        <f>(D13/60)*11</f>
        <v>12.681607371794874</v>
      </c>
      <c r="N28" s="111">
        <f>IFERROR(J28*IF(AND(ISNUMBER(SEARCH(TEXT(C28,"ddd"),$G$10)),Data!$F$2),$D$13,$D$13)+K28*$G$13,"")</f>
        <v>609.87002724358979</v>
      </c>
      <c r="O28" s="95"/>
    </row>
    <row r="29" spans="2:34">
      <c r="B29" s="69">
        <v>12</v>
      </c>
      <c r="C29" s="70">
        <f t="shared" si="3"/>
        <v>45681</v>
      </c>
      <c r="D29" s="71">
        <f t="shared" si="3"/>
        <v>45681</v>
      </c>
      <c r="E29" s="72">
        <v>0.3611111111111111</v>
      </c>
      <c r="F29" s="72">
        <v>6.9444444444444441E-3</v>
      </c>
      <c r="G29" s="72">
        <f t="shared" si="0"/>
        <v>0.35416666666666669</v>
      </c>
      <c r="H29" s="72">
        <v>0.75</v>
      </c>
      <c r="I29" s="73">
        <v>1</v>
      </c>
      <c r="J29" s="73">
        <f t="shared" si="1"/>
        <v>8.5</v>
      </c>
      <c r="K29" s="73">
        <f t="shared" si="2"/>
        <v>0</v>
      </c>
      <c r="L29" s="101">
        <f>G29-B13</f>
        <v>2.0833333333333703E-2</v>
      </c>
      <c r="M29" s="102">
        <f>(D13/60)*30</f>
        <v>34.586201923076928</v>
      </c>
      <c r="N29" s="111">
        <f>IFERROR(J29*IF(AND(ISNUMBER(SEARCH(TEXT(C29,"ddd"),$G$10)),Data!$F$2),$G$13,$D$13)+K29*$G$13,"")</f>
        <v>587.96543269230779</v>
      </c>
      <c r="O29" s="95"/>
    </row>
    <row r="30" spans="2:34">
      <c r="B30" s="69">
        <v>13</v>
      </c>
      <c r="C30" s="70">
        <f t="shared" si="3"/>
        <v>45682</v>
      </c>
      <c r="D30" s="71">
        <f t="shared" si="3"/>
        <v>45682</v>
      </c>
      <c r="E30" s="72">
        <v>0.38541666666666669</v>
      </c>
      <c r="F30" s="72">
        <v>6.9444444444444441E-3</v>
      </c>
      <c r="G30" s="72">
        <f t="shared" si="0"/>
        <v>0.37847222222222227</v>
      </c>
      <c r="H30" s="72">
        <v>0.5</v>
      </c>
      <c r="I30" s="73">
        <v>0</v>
      </c>
      <c r="J30" s="73">
        <f t="shared" si="1"/>
        <v>2.9166666666666656</v>
      </c>
      <c r="K30" s="73">
        <f t="shared" si="2"/>
        <v>0</v>
      </c>
      <c r="L30" s="101">
        <v>0</v>
      </c>
      <c r="M30" s="102">
        <f>(D13/60)*0</f>
        <v>0</v>
      </c>
      <c r="N30" s="111">
        <f>IFERROR(J30*IF(AND(ISNUMBER(SEARCH(TEXT(C30,"ddd"),$G$10)),Data!$F$2),$G$13,$D$13)+K30*$G$13,"")</f>
        <v>201.75284455128201</v>
      </c>
      <c r="O30" s="150"/>
    </row>
    <row r="31" spans="2:34">
      <c r="B31" s="69"/>
      <c r="C31" s="70"/>
      <c r="D31" s="71"/>
      <c r="E31" s="143"/>
      <c r="F31" s="143"/>
      <c r="G31" s="74"/>
      <c r="H31" s="75"/>
      <c r="I31" s="73"/>
      <c r="J31" s="73"/>
      <c r="K31" s="73"/>
      <c r="L31" s="110"/>
      <c r="M31" s="112"/>
      <c r="N31" s="99"/>
    </row>
    <row r="32" spans="2:34">
      <c r="B32" s="66"/>
      <c r="C32" s="76"/>
      <c r="D32" s="77"/>
      <c r="E32" s="144"/>
      <c r="F32" s="144"/>
      <c r="G32" s="597" t="s">
        <v>182</v>
      </c>
      <c r="H32" s="598"/>
      <c r="I32" s="80">
        <f>SUM(I16:I31)</f>
        <v>10</v>
      </c>
      <c r="J32" s="80">
        <f>SUM(J16:J31)</f>
        <v>96.75</v>
      </c>
      <c r="K32" s="80">
        <f>SUM(K16:K30)</f>
        <v>0</v>
      </c>
      <c r="L32" s="113">
        <f>SUM(L16:L30)</f>
        <v>9.0277777777780732E-2</v>
      </c>
      <c r="M32" s="114">
        <f>SUM(M16:M30)</f>
        <v>149.87354166666668</v>
      </c>
      <c r="N32" s="76"/>
    </row>
    <row r="33" spans="2:16">
      <c r="B33" s="66"/>
      <c r="C33" s="76"/>
      <c r="D33" s="77"/>
      <c r="E33" s="144"/>
      <c r="F33" s="144"/>
      <c r="G33" s="81" t="s">
        <v>39</v>
      </c>
      <c r="H33" s="82"/>
      <c r="I33" s="83"/>
      <c r="J33" s="84"/>
      <c r="K33" s="116"/>
      <c r="L33" s="117">
        <f>(D13/60)*130</f>
        <v>149.87354166666668</v>
      </c>
      <c r="M33" s="118"/>
      <c r="N33" s="119">
        <f>H13*D13</f>
        <v>6848.0679807692313</v>
      </c>
      <c r="O33" s="95"/>
      <c r="P33" s="136"/>
    </row>
    <row r="34" spans="2:16">
      <c r="B34" s="65"/>
      <c r="C34" s="65"/>
      <c r="D34" s="85"/>
      <c r="E34" s="85"/>
      <c r="F34" s="85"/>
      <c r="G34" s="592" t="s">
        <v>183</v>
      </c>
      <c r="H34" s="592"/>
      <c r="I34" s="80"/>
      <c r="J34" s="80">
        <f>H13-J32</f>
        <v>2.25</v>
      </c>
      <c r="K34" s="65"/>
      <c r="L34" s="120"/>
      <c r="M34" s="65"/>
      <c r="N34" s="121">
        <f>L33</f>
        <v>149.87354166666668</v>
      </c>
      <c r="O34" s="151"/>
    </row>
    <row r="35" spans="2:16">
      <c r="B35" s="65"/>
      <c r="C35" s="65"/>
      <c r="D35" s="85"/>
      <c r="E35" s="145"/>
      <c r="F35" s="145"/>
      <c r="G35" s="78" t="s">
        <v>41</v>
      </c>
      <c r="H35" s="79"/>
      <c r="I35" s="66"/>
      <c r="J35" s="66"/>
      <c r="K35" s="80"/>
      <c r="L35" s="80"/>
      <c r="M35" s="80"/>
      <c r="N35" s="121">
        <f>N33-N34</f>
        <v>6698.1944391025645</v>
      </c>
      <c r="O35" s="95"/>
    </row>
    <row r="36" spans="2:16">
      <c r="B36" s="65"/>
      <c r="C36" s="65"/>
      <c r="D36" s="85"/>
      <c r="E36" s="146"/>
      <c r="F36" s="146"/>
      <c r="G36" s="595" t="s">
        <v>202</v>
      </c>
      <c r="H36" s="596"/>
      <c r="I36" s="80"/>
      <c r="J36" s="66"/>
      <c r="K36" s="122"/>
      <c r="L36" s="122"/>
      <c r="M36" s="122"/>
      <c r="N36" s="123">
        <f>(G13*K32)</f>
        <v>0</v>
      </c>
      <c r="O36" s="95"/>
    </row>
    <row r="37" spans="2:16">
      <c r="B37" s="65"/>
      <c r="C37" s="65"/>
      <c r="D37" s="85"/>
      <c r="E37" s="146"/>
      <c r="F37" s="146"/>
      <c r="G37" s="86" t="s">
        <v>203</v>
      </c>
      <c r="H37" s="87"/>
      <c r="I37" s="80"/>
      <c r="J37" s="66"/>
      <c r="K37" s="122"/>
      <c r="L37" s="122"/>
      <c r="M37" s="122"/>
      <c r="N37" s="123">
        <f>N53</f>
        <v>0</v>
      </c>
    </row>
    <row r="38" spans="2:16">
      <c r="B38" s="65"/>
      <c r="C38" s="65"/>
      <c r="D38" s="85"/>
      <c r="E38" s="145"/>
      <c r="F38" s="145"/>
      <c r="G38" s="597" t="s">
        <v>186</v>
      </c>
      <c r="H38" s="598"/>
      <c r="I38" s="66"/>
      <c r="J38" s="66"/>
      <c r="K38" s="66"/>
      <c r="L38" s="66"/>
      <c r="M38" s="66"/>
      <c r="N38" s="124">
        <f>N35+N36+N37</f>
        <v>6698.1944391025645</v>
      </c>
      <c r="O38" s="95"/>
    </row>
    <row r="39" spans="2:16">
      <c r="D39" s="88"/>
      <c r="E39" s="88"/>
      <c r="F39" s="88"/>
      <c r="G39" s="589"/>
      <c r="H39" s="589"/>
      <c r="I39" s="90"/>
      <c r="J39" s="90"/>
      <c r="K39" s="125"/>
      <c r="L39" s="125"/>
      <c r="M39" s="125"/>
      <c r="N39" s="126"/>
      <c r="O39" s="127"/>
    </row>
    <row r="40" spans="2:16">
      <c r="D40" s="91"/>
      <c r="E40" s="91"/>
      <c r="F40" s="91"/>
    </row>
    <row r="41" spans="2:16">
      <c r="D41" s="91"/>
      <c r="E41" s="91"/>
      <c r="F41" s="91"/>
    </row>
    <row r="42" spans="2:16">
      <c r="B42" s="590" t="s">
        <v>187</v>
      </c>
      <c r="C42" s="590"/>
      <c r="D42" s="590"/>
      <c r="E42" s="590"/>
      <c r="F42" s="590"/>
      <c r="G42" s="590"/>
      <c r="H42" s="590"/>
      <c r="I42" s="590"/>
      <c r="J42" s="590"/>
      <c r="K42" s="590"/>
      <c r="L42" s="590"/>
      <c r="M42" s="590"/>
      <c r="N42" s="590"/>
    </row>
    <row r="43" spans="2:16">
      <c r="D43" s="91"/>
      <c r="E43" s="91"/>
      <c r="F43" s="91"/>
    </row>
    <row r="44" spans="2:16">
      <c r="D44" s="91" t="s">
        <v>188</v>
      </c>
      <c r="E44" s="91"/>
      <c r="F44" s="91"/>
      <c r="N44" s="95"/>
    </row>
    <row r="45" spans="2:16">
      <c r="D45" s="54" t="s">
        <v>10</v>
      </c>
      <c r="E45" s="54"/>
      <c r="F45" s="54"/>
      <c r="G45" s="54" t="s">
        <v>11</v>
      </c>
      <c r="H45" s="54" t="s">
        <v>12</v>
      </c>
      <c r="I45" s="55" t="s">
        <v>13</v>
      </c>
    </row>
    <row r="46" spans="2:16">
      <c r="D46" s="56">
        <v>2024</v>
      </c>
      <c r="E46" s="56"/>
      <c r="F46" s="56"/>
      <c r="G46" s="56" t="s">
        <v>276</v>
      </c>
      <c r="H46" s="56">
        <v>25</v>
      </c>
      <c r="I46" s="56" t="s">
        <v>15</v>
      </c>
    </row>
    <row r="47" spans="2:16">
      <c r="D47" s="57"/>
      <c r="E47" s="57"/>
      <c r="F47" s="57"/>
      <c r="G47" s="57"/>
    </row>
    <row r="48" spans="2:16" ht="33.75">
      <c r="D48" s="58" t="s">
        <v>16</v>
      </c>
      <c r="E48" s="58"/>
      <c r="F48" s="58"/>
      <c r="G48" s="58" t="s">
        <v>17</v>
      </c>
      <c r="H48" s="58" t="s">
        <v>18</v>
      </c>
      <c r="I48" s="58" t="s">
        <v>19</v>
      </c>
    </row>
    <row r="49" spans="3:14">
      <c r="D49" s="61">
        <v>0.33333333333333298</v>
      </c>
      <c r="E49" s="61"/>
      <c r="F49" s="61"/>
      <c r="G49" s="62">
        <v>10</v>
      </c>
      <c r="H49" s="63">
        <f>D13</f>
        <v>69.172403846153856</v>
      </c>
      <c r="I49" s="130">
        <f>(H49*30%)+H49</f>
        <v>89.924125000000004</v>
      </c>
    </row>
    <row r="51" spans="3:14">
      <c r="C51" s="131" t="s">
        <v>20</v>
      </c>
      <c r="D51" s="131" t="s">
        <v>12</v>
      </c>
      <c r="E51" s="131"/>
      <c r="F51" s="131"/>
      <c r="G51" s="131" t="s">
        <v>21</v>
      </c>
      <c r="H51" s="131" t="s">
        <v>22</v>
      </c>
      <c r="I51" s="131" t="s">
        <v>23</v>
      </c>
      <c r="J51" s="131" t="s">
        <v>24</v>
      </c>
      <c r="K51" s="131" t="s">
        <v>25</v>
      </c>
      <c r="L51" s="131"/>
      <c r="M51" s="131"/>
      <c r="N51" s="131" t="s">
        <v>26</v>
      </c>
    </row>
    <row r="52" spans="3:14">
      <c r="C52" s="70" t="s">
        <v>324</v>
      </c>
      <c r="D52" s="71">
        <f>DATE($B$10,MATCH($G$46,Data!$B$2:$B$13,0),ESTARES!$H$46)</f>
        <v>46016</v>
      </c>
      <c r="E52" s="71"/>
      <c r="F52" s="71"/>
      <c r="G52" s="72">
        <v>0</v>
      </c>
      <c r="H52" s="72">
        <v>0</v>
      </c>
      <c r="I52" s="73">
        <v>0</v>
      </c>
      <c r="J52" s="73">
        <f t="shared" ref="J52" si="5">IFERROR(IF(AND(G52&lt;&gt;"",H52&lt;&gt;""),IF(G52&gt;$B$13+TIME($C$13,($C$13-INT($C$13))*60,0),0,IF(H52&gt;$B$13+TIME($C$13,($C$13-INT($C$13))*60,0),MIN(TIME($C$13,($C$13-INT($C$13))*60,0),($B$13+TIME($C$13,($C$13-INT($C$13))*60,0)-G52)),MIN(IF((H52-$B$13)&lt;0,0,(H52-$B$13)),(H52-G52))))*24,"")-I52,"")</f>
        <v>0</v>
      </c>
      <c r="K52" s="73">
        <f>IF(AND(G52&lt;&gt;"",H52&lt;&gt;""),((IF(G52&lt;$D$49,MIN($D$49-G52,H52-G52),0)+IF(H52&gt;$D$49+TIME($G$49,($G$49-INT($G$49))*60,0),MIN((H52-$D$49-TIME($G$49,($G$49-INT($G$49))*60,0)),(H52-G52)),0))*24),"")</f>
        <v>0</v>
      </c>
      <c r="L52" s="101"/>
      <c r="M52" s="102">
        <f>(D49/60)*0</f>
        <v>0</v>
      </c>
      <c r="N52" s="99">
        <f>J52*D13</f>
        <v>0</v>
      </c>
    </row>
    <row r="53" spans="3:14">
      <c r="C53" s="66"/>
      <c r="D53" s="66"/>
      <c r="E53" s="66"/>
      <c r="F53" s="66"/>
      <c r="G53" s="66"/>
      <c r="H53" s="66"/>
      <c r="I53" s="73"/>
      <c r="J53" s="66"/>
      <c r="K53" s="66"/>
      <c r="L53" s="66"/>
      <c r="M53" s="66"/>
      <c r="N53" s="318">
        <f>SUM(N52:N52)</f>
        <v>0</v>
      </c>
    </row>
    <row r="54" spans="3:14">
      <c r="N54" s="138"/>
    </row>
    <row r="55" spans="3:14">
      <c r="D55" s="132"/>
      <c r="E55" s="132"/>
      <c r="F55" s="132"/>
      <c r="G55" s="133"/>
      <c r="H55" s="133"/>
      <c r="I55" s="133"/>
    </row>
    <row r="56" spans="3:14">
      <c r="D56" s="132"/>
      <c r="E56" s="132"/>
      <c r="F56" s="132"/>
      <c r="G56" s="133"/>
      <c r="H56" s="133"/>
      <c r="I56" s="133"/>
    </row>
    <row r="57" spans="3:14">
      <c r="D57" s="132" t="s">
        <v>190</v>
      </c>
      <c r="E57" s="132"/>
      <c r="F57" s="132"/>
      <c r="G57" s="133"/>
      <c r="H57" s="133"/>
      <c r="I57" s="133"/>
    </row>
    <row r="58" spans="3:14">
      <c r="D58" s="132"/>
      <c r="E58" s="132"/>
      <c r="F58" s="132"/>
      <c r="G58" s="133"/>
      <c r="H58" s="133"/>
      <c r="I58" s="133"/>
    </row>
    <row r="59" spans="3:14">
      <c r="D59" s="591">
        <v>44981</v>
      </c>
      <c r="E59" s="591"/>
      <c r="F59" s="591"/>
      <c r="G59" s="88">
        <v>0</v>
      </c>
      <c r="H59" s="148" t="s">
        <v>280</v>
      </c>
      <c r="I59" s="254"/>
    </row>
    <row r="60" spans="3:14">
      <c r="E60" s="88"/>
      <c r="F60" s="88"/>
      <c r="G60" s="88">
        <f>G59*H60</f>
        <v>0</v>
      </c>
      <c r="H60" s="253">
        <v>0.3</v>
      </c>
      <c r="I60" s="254"/>
    </row>
    <row r="61" spans="3:14">
      <c r="E61" s="91"/>
      <c r="F61" s="91"/>
      <c r="G61" s="91"/>
    </row>
    <row r="62" spans="3:14">
      <c r="E62" s="91"/>
      <c r="F62" s="91"/>
      <c r="G62" s="91"/>
      <c r="H62" s="91">
        <f>G60</f>
        <v>0</v>
      </c>
    </row>
    <row r="63" spans="3:14">
      <c r="D63" s="132"/>
      <c r="E63" s="132"/>
      <c r="F63" s="132"/>
      <c r="G63" s="133"/>
      <c r="H63" s="133"/>
      <c r="I63" s="133"/>
    </row>
    <row r="64" spans="3:14">
      <c r="D64" s="132"/>
      <c r="E64" s="132"/>
      <c r="F64" s="132"/>
      <c r="G64" s="133"/>
      <c r="H64" s="133"/>
      <c r="I64" s="133"/>
    </row>
    <row r="65" spans="3:9">
      <c r="D65" s="132"/>
      <c r="E65" s="132"/>
      <c r="F65" s="132"/>
      <c r="G65" s="133"/>
      <c r="H65" s="133"/>
      <c r="I65" s="133"/>
    </row>
    <row r="66" spans="3:9">
      <c r="D66" s="132"/>
      <c r="E66" s="132"/>
      <c r="F66" s="132"/>
      <c r="G66" s="133"/>
      <c r="H66" s="133"/>
      <c r="I66" s="133"/>
    </row>
    <row r="67" spans="3:9">
      <c r="D67" s="132"/>
      <c r="E67" s="132"/>
      <c r="F67" s="132"/>
      <c r="G67" s="133"/>
      <c r="H67" s="133"/>
      <c r="I67" s="133"/>
    </row>
    <row r="70" spans="3:9">
      <c r="C70" s="91" t="s">
        <v>141</v>
      </c>
    </row>
    <row r="71" spans="3:9">
      <c r="C71" t="s">
        <v>66</v>
      </c>
    </row>
    <row r="72" spans="3:9">
      <c r="C72" s="91"/>
    </row>
  </sheetData>
  <mergeCells count="12">
    <mergeCell ref="A4:N4"/>
    <mergeCell ref="C6:D6"/>
    <mergeCell ref="C7:D7"/>
    <mergeCell ref="O21:Q21"/>
    <mergeCell ref="D59:F59"/>
    <mergeCell ref="L7:M7"/>
    <mergeCell ref="G32:H32"/>
    <mergeCell ref="G34:H34"/>
    <mergeCell ref="G36:H36"/>
    <mergeCell ref="G38:H38"/>
    <mergeCell ref="G39:H39"/>
    <mergeCell ref="B42:N42"/>
  </mergeCells>
  <conditionalFormatting sqref="C16:G30 C52:K52 I53">
    <cfRule type="expression" dxfId="70" priority="21">
      <formula>ISNUMBER(SEARCH(TEXT($C16,"ddd"),$G$10))</formula>
    </cfRule>
  </conditionalFormatting>
  <conditionalFormatting sqref="H19:H30">
    <cfRule type="expression" dxfId="69" priority="1">
      <formula>ISNUMBER(SEARCH(TEXT($C19,"ddd"),$G$10))</formula>
    </cfRule>
  </conditionalFormatting>
  <conditionalFormatting sqref="H16:K18">
    <cfRule type="expression" dxfId="68" priority="3">
      <formula>ISNUMBER(SEARCH(TEXT($C16,"ddd"),$G$10))</formula>
    </cfRule>
  </conditionalFormatting>
  <conditionalFormatting sqref="I21:I24">
    <cfRule type="expression" dxfId="67" priority="26">
      <formula>ISNUMBER(SEARCH(TEXT($C21,"ddd"),$G$11))</formula>
    </cfRule>
  </conditionalFormatting>
  <conditionalFormatting sqref="I27:I30">
    <cfRule type="expression" dxfId="66" priority="25">
      <formula>ISNUMBER(SEARCH(TEXT($C27,"ddd"),$G$11))</formula>
    </cfRule>
  </conditionalFormatting>
  <conditionalFormatting sqref="I19:K19 I20 J20:K24">
    <cfRule type="expression" dxfId="65" priority="20">
      <formula>ISNUMBER(SEARCH(TEXT($C19,"ddd"),$G$10))</formula>
    </cfRule>
  </conditionalFormatting>
  <conditionalFormatting sqref="I25:K26 J27:K30">
    <cfRule type="expression" dxfId="64" priority="68">
      <formula>ISNUMBER(SEARCH(TEXT($C25,"ddd"),$G$10))</formula>
    </cfRule>
  </conditionalFormatting>
  <conditionalFormatting sqref="N16:N31 C31:L31 N52">
    <cfRule type="expression" dxfId="63" priority="65">
      <formula>ISNUMBER(SEARCH(TEXT($C16,"ddd"),$G$10))</formula>
    </cfRule>
  </conditionalFormatting>
  <dataValidations count="3">
    <dataValidation type="custom" allowBlank="1" showInputMessage="1" showErrorMessage="1" sqref="H52 H16:H31" xr:uid="{00000000-0002-0000-2E00-000000000000}">
      <formula1>AND($H16&lt;=1,ISNUMBER($H16),($H16&gt;=$G16))</formula1>
    </dataValidation>
    <dataValidation type="list" allowBlank="1" showInputMessage="1" showErrorMessage="1" sqref="H46 D10:F10" xr:uid="{00000000-0002-0000-2E00-000001000000}">
      <formula1>DateCalc</formula1>
    </dataValidation>
    <dataValidation type="custom" allowBlank="1" showInputMessage="1" showErrorMessage="1" sqref="G16:G31 G52 E16:F30" xr:uid="{00000000-0002-0000-2E00-000002000000}">
      <formula1>AND($G16&lt;=1,ISNUMBER($G16))</formula1>
    </dataValidation>
  </dataValidations>
  <pageMargins left="0.86250000000000004" right="0" top="0.25" bottom="0.25" header="0.3" footer="0.3"/>
  <pageSetup paperSize="9" scale="91" orientation="landscape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88769" r:id="rId4" name="Check Box 1">
              <controlPr defaultSize="0" print="0" autoPict="0">
                <anchor moveWithCells="1">
                  <from>
                    <xdr:col>7</xdr:col>
                    <xdr:colOff>180975</xdr:colOff>
                    <xdr:row>8</xdr:row>
                    <xdr:rowOff>28575</xdr:rowOff>
                  </from>
                  <to>
                    <xdr:col>8</xdr:col>
                    <xdr:colOff>571500</xdr:colOff>
                    <xdr:row>10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2E00-000003000000}">
          <x14:formula1>
            <xm:f>Data!$B$2:$B$13</xm:f>
          </x14:formula1>
          <xm:sqref>G46 C10</xm:sqref>
        </x14:dataValidation>
        <x14:dataValidation type="list" allowBlank="1" showInputMessage="1" showErrorMessage="1" xr:uid="{00000000-0002-0000-2E00-000004000000}">
          <x14:formula1>
            <xm:f>Data!$D$2:$D$16</xm:f>
          </x14:formula1>
          <xm:sqref>G10 I46</xm:sqref>
        </x14:dataValidation>
        <x14:dataValidation type="list" allowBlank="1" showInputMessage="1" showErrorMessage="1" xr:uid="{00000000-0002-0000-2E00-000005000000}">
          <x14:formula1>
            <xm:f>Data!$A$2:$A$12</xm:f>
          </x14:formula1>
          <xm:sqref>D46:F46 B10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3:AH75"/>
  <sheetViews>
    <sheetView showGridLines="0" view="pageLayout" topLeftCell="A11" zoomScaleNormal="100" workbookViewId="0">
      <selection activeCell="N20" sqref="N20"/>
    </sheetView>
  </sheetViews>
  <sheetFormatPr defaultColWidth="9" defaultRowHeight="12.75"/>
  <cols>
    <col min="1" max="1" width="1.625" customWidth="1"/>
    <col min="2" max="2" width="5.375" customWidth="1"/>
    <col min="3" max="3" width="7.125" customWidth="1"/>
    <col min="4" max="6" width="7.625" customWidth="1"/>
    <col min="7" max="7" width="10.125" customWidth="1"/>
    <col min="8" max="8" width="9.625" customWidth="1"/>
    <col min="9" max="9" width="8.125" customWidth="1"/>
    <col min="10" max="10" width="10.125" customWidth="1"/>
    <col min="11" max="11" width="7.875" customWidth="1"/>
    <col min="12" max="12" width="10.125" customWidth="1"/>
    <col min="13" max="13" width="9.375" customWidth="1"/>
    <col min="14" max="14" width="11.625" customWidth="1"/>
    <col min="15" max="15" width="16.875" customWidth="1"/>
  </cols>
  <sheetData>
    <row r="3" spans="1:21" ht="25.5" customHeight="1"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</row>
    <row r="4" spans="1:21" s="47" customFormat="1" ht="25.5" customHeight="1">
      <c r="A4" s="603"/>
      <c r="B4" s="603"/>
      <c r="C4" s="603"/>
      <c r="D4" s="603"/>
      <c r="E4" s="603"/>
      <c r="F4" s="603"/>
      <c r="G4" s="603"/>
      <c r="H4" s="603"/>
      <c r="I4" s="603"/>
      <c r="J4" s="603"/>
      <c r="K4" s="603"/>
      <c r="L4" s="603"/>
      <c r="M4" s="603"/>
      <c r="N4" s="603"/>
    </row>
    <row r="5" spans="1:21" ht="18.75" customHeight="1">
      <c r="C5" s="527" t="s">
        <v>3</v>
      </c>
      <c r="D5" s="527"/>
      <c r="E5" s="49"/>
      <c r="F5" s="49"/>
      <c r="G5" s="50" t="s">
        <v>217</v>
      </c>
      <c r="H5" s="51"/>
      <c r="J5" s="49" t="s">
        <v>174</v>
      </c>
      <c r="L5" s="599" t="str">
        <f>PAALAN!L7</f>
        <v>September  11-25, 2026</v>
      </c>
      <c r="M5" s="599"/>
      <c r="N5" s="599"/>
    </row>
    <row r="6" spans="1:21" ht="18.75" customHeight="1">
      <c r="C6" s="527" t="s">
        <v>175</v>
      </c>
      <c r="D6" s="527"/>
      <c r="E6" s="49"/>
      <c r="F6" s="49"/>
      <c r="G6" s="50" t="s">
        <v>198</v>
      </c>
      <c r="H6" s="51"/>
      <c r="J6" s="49" t="s">
        <v>176</v>
      </c>
      <c r="L6" s="600" t="str">
        <f>PAALAN!L8</f>
        <v>9/31/2026</v>
      </c>
      <c r="M6" s="600"/>
      <c r="N6" s="600"/>
    </row>
    <row r="7" spans="1:21">
      <c r="C7" s="52"/>
      <c r="D7" s="53"/>
      <c r="E7" s="53"/>
      <c r="F7" s="53"/>
      <c r="G7" s="53"/>
    </row>
    <row r="8" spans="1:21">
      <c r="B8" s="54" t="s">
        <v>10</v>
      </c>
      <c r="C8" s="54" t="s">
        <v>11</v>
      </c>
      <c r="D8" s="54" t="s">
        <v>12</v>
      </c>
      <c r="E8" s="54"/>
      <c r="F8" s="54"/>
      <c r="G8" s="55" t="s">
        <v>13</v>
      </c>
    </row>
    <row r="9" spans="1:21">
      <c r="B9" s="56">
        <v>2025</v>
      </c>
      <c r="C9" s="56" t="s">
        <v>262</v>
      </c>
      <c r="D9" s="56">
        <v>11</v>
      </c>
      <c r="E9" s="56"/>
      <c r="F9" s="56"/>
      <c r="G9" s="56" t="s">
        <v>178</v>
      </c>
    </row>
    <row r="10" spans="1:21">
      <c r="B10" s="57"/>
      <c r="C10" s="57"/>
      <c r="H10" s="57"/>
      <c r="K10" s="57"/>
      <c r="L10" s="57"/>
      <c r="M10" s="57"/>
    </row>
    <row r="11" spans="1:21" ht="32.1" customHeight="1">
      <c r="B11" s="58" t="s">
        <v>16</v>
      </c>
      <c r="C11" s="58" t="s">
        <v>17</v>
      </c>
      <c r="D11" s="58" t="s">
        <v>18</v>
      </c>
      <c r="E11" s="59"/>
      <c r="F11" s="59"/>
      <c r="G11" s="59" t="s">
        <v>19</v>
      </c>
      <c r="H11" s="60" t="s">
        <v>179</v>
      </c>
      <c r="L11" s="93"/>
      <c r="M11" s="93"/>
      <c r="N11" s="94"/>
      <c r="O11" s="58" t="s">
        <v>16</v>
      </c>
      <c r="P11" s="58" t="s">
        <v>17</v>
      </c>
      <c r="Q11" s="58" t="s">
        <v>18</v>
      </c>
      <c r="R11" s="59"/>
      <c r="S11" s="59"/>
      <c r="T11" s="59" t="s">
        <v>19</v>
      </c>
      <c r="U11" s="60" t="s">
        <v>179</v>
      </c>
    </row>
    <row r="12" spans="1:21">
      <c r="B12" s="61">
        <v>0.33333333333333298</v>
      </c>
      <c r="C12" s="62">
        <v>10</v>
      </c>
      <c r="D12" s="63">
        <f>(17082.56/26)/8</f>
        <v>82.127692307692314</v>
      </c>
      <c r="E12" s="142"/>
      <c r="F12" s="142"/>
      <c r="G12" s="64">
        <f>(D12*25%)+D12</f>
        <v>102.65961538461539</v>
      </c>
      <c r="H12" s="65">
        <v>135</v>
      </c>
      <c r="L12" s="57"/>
      <c r="M12" s="57"/>
      <c r="N12" s="95"/>
      <c r="O12" s="61">
        <v>0.375</v>
      </c>
      <c r="P12" s="62">
        <v>3</v>
      </c>
      <c r="Q12" s="63">
        <f>(16082.56/26)/8</f>
        <v>77.319999999999993</v>
      </c>
      <c r="R12" s="142"/>
      <c r="S12" s="142"/>
      <c r="T12" s="64">
        <f>(Q12*25%)+Q12</f>
        <v>96.649999999999991</v>
      </c>
      <c r="U12" s="65">
        <v>87</v>
      </c>
    </row>
    <row r="13" spans="1:21">
      <c r="N13" s="96"/>
    </row>
    <row r="14" spans="1:21" ht="23.25">
      <c r="B14" s="66"/>
      <c r="C14" s="67" t="s">
        <v>20</v>
      </c>
      <c r="D14" s="67" t="s">
        <v>12</v>
      </c>
      <c r="E14" s="67"/>
      <c r="F14" s="67"/>
      <c r="G14" s="67" t="s">
        <v>21</v>
      </c>
      <c r="H14" s="67" t="s">
        <v>22</v>
      </c>
      <c r="I14" s="68" t="s">
        <v>23</v>
      </c>
      <c r="J14" s="68" t="s">
        <v>24</v>
      </c>
      <c r="K14" s="68" t="s">
        <v>25</v>
      </c>
      <c r="L14" s="67" t="s">
        <v>180</v>
      </c>
      <c r="M14" s="134" t="s">
        <v>181</v>
      </c>
      <c r="N14" s="67" t="s">
        <v>26</v>
      </c>
    </row>
    <row r="15" spans="1:21">
      <c r="B15" s="69">
        <v>1</v>
      </c>
      <c r="C15" s="70">
        <f>DATE($B$9,MATCH($C$9,Data!$B$2:$B$13,0),DAGOT!$D$9)</f>
        <v>45668</v>
      </c>
      <c r="D15" s="71">
        <f>DATE($B$9,MATCH($C$9,Data!$B$2:$B$13,0),DAGOT!$D$9)</f>
        <v>45668</v>
      </c>
      <c r="E15" s="72">
        <v>0.39097222222222222</v>
      </c>
      <c r="F15" s="72">
        <v>6.9444444444444441E-3</v>
      </c>
      <c r="G15" s="72">
        <f t="shared" ref="G15:G20" si="0">E15-F15</f>
        <v>0.3840277777777778</v>
      </c>
      <c r="H15" s="72">
        <v>0.5</v>
      </c>
      <c r="I15" s="73">
        <v>0</v>
      </c>
      <c r="J15" s="73">
        <f t="shared" ref="J15:J29" si="1">IFERROR(IF(AND(G15&lt;&gt;"",H15&lt;&gt;""),IF(G15&gt;$B$12+TIME($C$12,($C$12-INT($C$12))*60,0),0,IF(H15&gt;$B$12+TIME($C$12,($C$12-INT($C$12))*60,0),MIN(TIME($C$12,($C$12-INT($C$12))*60,0),($B$12+TIME($C$12,($C$12-INT($C$12))*60,0)-G15)),MIN(IF((H15-$B$12)&lt;0,0,(H15-$B$12)),(H15-G15))))*24,"")-I15,"")</f>
        <v>2.7833333333333328</v>
      </c>
      <c r="K15" s="73">
        <v>0</v>
      </c>
      <c r="L15" s="101">
        <v>9.0277777777777787E-3</v>
      </c>
      <c r="M15" s="102">
        <f>(D12/60)*13</f>
        <v>17.794333333333334</v>
      </c>
      <c r="N15" s="111">
        <f>IFERROR(J15*IF(AND(ISNUMBER(SEARCH(TEXT(C15,"ddd"),$G$9)),Data!$F$2),$G$12,$D$12)+K15*$G$12,"")</f>
        <v>228.58874358974356</v>
      </c>
      <c r="O15" s="100"/>
      <c r="P15" s="89"/>
      <c r="Q15" s="89"/>
    </row>
    <row r="16" spans="1:21">
      <c r="B16" s="69"/>
      <c r="C16" s="70">
        <f t="shared" ref="C16:D29" si="2">C15+1</f>
        <v>45669</v>
      </c>
      <c r="D16" s="71">
        <f t="shared" si="2"/>
        <v>45669</v>
      </c>
      <c r="E16" s="72">
        <v>0</v>
      </c>
      <c r="F16" s="72">
        <v>0</v>
      </c>
      <c r="G16" s="72">
        <f t="shared" si="0"/>
        <v>0</v>
      </c>
      <c r="H16" s="72">
        <v>0</v>
      </c>
      <c r="I16" s="73">
        <v>0</v>
      </c>
      <c r="J16" s="73">
        <f t="shared" si="1"/>
        <v>0</v>
      </c>
      <c r="K16" s="73">
        <f t="shared" ref="K16:K25" si="3">IF(AND(G16&lt;&gt;"",H16&lt;&gt;""),((IF(G16&lt;$B$12,MIN($B$12-G16,H16-G16),0)+IF(H16&gt;$B$12+TIME($C$12,($C$12-INT($C$12))*60,0),MIN((H16-$B$12-TIME($C$12,($C$12-INT($C$12))*60,0)),(H16-G16)),0))*24),"")</f>
        <v>0</v>
      </c>
      <c r="L16" s="97">
        <v>0</v>
      </c>
      <c r="M16" s="98">
        <f>(D12/60)*0</f>
        <v>0</v>
      </c>
      <c r="N16" s="99">
        <f>IFERROR(J16*IF(AND(ISNUMBER(SEARCH(TEXT(C16,"ddd"),$G$9)),Data!$F$2),$G$12,$D$12)+K16*$G$12,"")</f>
        <v>0</v>
      </c>
      <c r="O16" s="89"/>
      <c r="P16" s="89"/>
      <c r="Q16" s="89"/>
    </row>
    <row r="17" spans="2:34">
      <c r="B17" s="69">
        <v>2</v>
      </c>
      <c r="C17" s="70">
        <f t="shared" si="2"/>
        <v>45670</v>
      </c>
      <c r="D17" s="71">
        <f t="shared" si="2"/>
        <v>45670</v>
      </c>
      <c r="E17" s="72">
        <v>0.34375</v>
      </c>
      <c r="F17" s="72">
        <v>6.9444444444444441E-3</v>
      </c>
      <c r="G17" s="72">
        <f t="shared" ref="G17" si="4">E17-F17</f>
        <v>0.33680555555555558</v>
      </c>
      <c r="H17" s="72">
        <v>0.75</v>
      </c>
      <c r="I17" s="73">
        <v>1</v>
      </c>
      <c r="J17" s="73">
        <f t="shared" ref="J17" si="5">IFERROR(IF(AND(G17&lt;&gt;"",H17&lt;&gt;""),IF(G17&gt;$B$12+TIME($C$12,($C$12-INT($C$12))*60,0),0,IF(H17&gt;$B$12+TIME($C$12,($C$12-INT($C$12))*60,0),MIN(TIME($C$12,($C$12-INT($C$12))*60,0),($B$12+TIME($C$12,($C$12-INT($C$12))*60,0)-G17)),MIN(IF((H17-$B$12)&lt;0,0,(H17-$B$12)),(H17-G17))))*24,"")-I17,"")</f>
        <v>8.9166666666666661</v>
      </c>
      <c r="K17" s="73">
        <f t="shared" ref="K17:K20" si="6">IF(AND(G17&lt;&gt;"",H17&lt;&gt;""),((IF(G17&lt;$B$12,MIN($B$12-G17,H17-G17),0)+IF(H17&gt;$B$12+TIME($C$12,($C$12-INT($C$12))*60,0),MIN((H17-$B$12-TIME($C$12,($C$12-INT($C$12))*60,0)),(H17-G17)),0))*24),"")</f>
        <v>0</v>
      </c>
      <c r="L17" s="101">
        <f>G17-B12</f>
        <v>3.4722222222225985E-3</v>
      </c>
      <c r="M17" s="102">
        <f>(D12/60)*5</f>
        <v>6.8439743589743598</v>
      </c>
      <c r="N17" s="99">
        <f>IFERROR(J17*IF(AND(ISNUMBER(SEARCH(TEXT(C17,"ddd"),$G$9)),Data!$F$2),$G$12,$D$12)+K17*$G$12,"")</f>
        <v>732.30525641025645</v>
      </c>
      <c r="O17" s="106"/>
      <c r="P17" s="104"/>
      <c r="Q17" s="104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</row>
    <row r="18" spans="2:34">
      <c r="B18" s="69">
        <v>3</v>
      </c>
      <c r="C18" s="70">
        <f t="shared" si="2"/>
        <v>45671</v>
      </c>
      <c r="D18" s="71">
        <f t="shared" si="2"/>
        <v>45671</v>
      </c>
      <c r="E18" s="72">
        <v>0.35486111111111113</v>
      </c>
      <c r="F18" s="72">
        <v>6.9444444444444441E-3</v>
      </c>
      <c r="G18" s="72">
        <f t="shared" ref="G18:G19" si="7">E18-F18</f>
        <v>0.34791666666666671</v>
      </c>
      <c r="H18" s="72">
        <v>0.75</v>
      </c>
      <c r="I18" s="73">
        <v>1</v>
      </c>
      <c r="J18" s="73">
        <f t="shared" ref="J18:J19" si="8">IFERROR(IF(AND(G18&lt;&gt;"",H18&lt;&gt;""),IF(G18&gt;$B$12+TIME($C$12,($C$12-INT($C$12))*60,0),0,IF(H18&gt;$B$12+TIME($C$12,($C$12-INT($C$12))*60,0),MIN(TIME($C$12,($C$12-INT($C$12))*60,0),($B$12+TIME($C$12,($C$12-INT($C$12))*60,0)-G18)),MIN(IF((H18-$B$12)&lt;0,0,(H18-$B$12)),(H18-G18))))*24,"")-I18,"")</f>
        <v>8.6499999999999986</v>
      </c>
      <c r="K18" s="73">
        <v>0</v>
      </c>
      <c r="L18" s="101">
        <f>G18-B12</f>
        <v>1.4583333333333726E-2</v>
      </c>
      <c r="M18" s="102">
        <f>(D12/60)*21</f>
        <v>28.744692307692311</v>
      </c>
      <c r="N18" s="111">
        <f>IFERROR(J18*IF(AND(ISNUMBER(SEARCH(TEXT(C18,"ddd"),$G$9)),Data!$F$2),$G$12,$D$12)+K18*$G$12,"")</f>
        <v>710.40453846153844</v>
      </c>
      <c r="O18" s="106"/>
      <c r="P18" s="103"/>
      <c r="Q18" s="103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28"/>
    </row>
    <row r="19" spans="2:34">
      <c r="B19" s="69">
        <v>4</v>
      </c>
      <c r="C19" s="70">
        <f t="shared" si="2"/>
        <v>45672</v>
      </c>
      <c r="D19" s="71">
        <f t="shared" si="2"/>
        <v>45672</v>
      </c>
      <c r="E19" s="72">
        <v>0.34652777777777777</v>
      </c>
      <c r="F19" s="72">
        <v>6.9444444444444441E-3</v>
      </c>
      <c r="G19" s="72">
        <f t="shared" si="7"/>
        <v>0.33958333333333335</v>
      </c>
      <c r="H19" s="72">
        <v>0.75</v>
      </c>
      <c r="I19" s="73">
        <v>1</v>
      </c>
      <c r="J19" s="73">
        <f t="shared" si="8"/>
        <v>8.85</v>
      </c>
      <c r="K19" s="73">
        <f t="shared" si="6"/>
        <v>0</v>
      </c>
      <c r="L19" s="101">
        <f>G19-B12</f>
        <v>6.2500000000003664E-3</v>
      </c>
      <c r="M19" s="102">
        <f>(D12/60)*9</f>
        <v>12.319153846153847</v>
      </c>
      <c r="N19" s="111">
        <f>IFERROR(J19*IF(AND(ISNUMBER(SEARCH(TEXT(C19,"ddd"),$G$9)),Data!$F$2),$D$12,$D$12)+K19*$D$12,"")</f>
        <v>726.83007692307694</v>
      </c>
      <c r="O19" s="107"/>
      <c r="P19" s="108"/>
      <c r="Q19" s="108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4"/>
    </row>
    <row r="20" spans="2:34">
      <c r="B20" s="69">
        <v>5</v>
      </c>
      <c r="C20" s="70">
        <f t="shared" si="2"/>
        <v>45673</v>
      </c>
      <c r="D20" s="71">
        <f t="shared" si="2"/>
        <v>45673</v>
      </c>
      <c r="E20" s="72">
        <v>0.34027777777777773</v>
      </c>
      <c r="F20" s="72">
        <v>6.9444444444444441E-3</v>
      </c>
      <c r="G20" s="72">
        <f t="shared" si="0"/>
        <v>0.33333333333333331</v>
      </c>
      <c r="H20" s="72">
        <v>0.75</v>
      </c>
      <c r="I20" s="73">
        <v>1</v>
      </c>
      <c r="J20" s="73">
        <f t="shared" si="1"/>
        <v>9</v>
      </c>
      <c r="K20" s="73">
        <f t="shared" si="6"/>
        <v>0</v>
      </c>
      <c r="L20" s="101">
        <f>G20-B12</f>
        <v>0</v>
      </c>
      <c r="M20" s="102">
        <f>(D12/60)*0</f>
        <v>0</v>
      </c>
      <c r="N20" s="111">
        <f>IFERROR(J20*IF(AND(ISNUMBER(SEARCH(TEXT(C20,"ddd"),$G$9)),Data!$F$2),$G$12,$D$12)+K20*$G$12,"")</f>
        <v>739.14923076923083</v>
      </c>
      <c r="O20" s="601"/>
      <c r="P20" s="602"/>
      <c r="Q20" s="602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4"/>
    </row>
    <row r="21" spans="2:34">
      <c r="B21" s="69">
        <v>6</v>
      </c>
      <c r="C21" s="70">
        <f t="shared" si="2"/>
        <v>45674</v>
      </c>
      <c r="D21" s="71">
        <f t="shared" si="2"/>
        <v>45674</v>
      </c>
      <c r="E21" s="72">
        <v>0.34027777777777773</v>
      </c>
      <c r="F21" s="72">
        <v>6.9444444444444441E-3</v>
      </c>
      <c r="G21" s="72">
        <f t="shared" ref="G21:G22" si="9">E21-F21</f>
        <v>0.33333333333333331</v>
      </c>
      <c r="H21" s="72">
        <v>0.75</v>
      </c>
      <c r="I21" s="73">
        <v>1</v>
      </c>
      <c r="J21" s="73">
        <f t="shared" ref="J21" si="10">IFERROR(IF(AND(G21&lt;&gt;"",H21&lt;&gt;""),IF(G21&gt;$B$12+TIME($C$12,($C$12-INT($C$12))*60,0),0,IF(H21&gt;$B$12+TIME($C$12,($C$12-INT($C$12))*60,0),MIN(TIME($C$12,($C$12-INT($C$12))*60,0),($B$12+TIME($C$12,($C$12-INT($C$12))*60,0)-G21)),MIN(IF((H21-$B$12)&lt;0,0,(H21-$B$12)),(H21-G21))))*24,"")-I21,"")</f>
        <v>9</v>
      </c>
      <c r="K21" s="73">
        <f t="shared" ref="K21" si="11">IF(AND(G21&lt;&gt;"",H21&lt;&gt;""),((IF(G21&lt;$B$12,MIN($B$12-G21,H21-G21),0)+IF(H21&gt;$B$12+TIME($C$12,($C$12-INT($C$12))*60,0),MIN((H21-$B$12-TIME($C$12,($C$12-INT($C$12))*60,0)),(H21-G21)),0))*24),"")</f>
        <v>0</v>
      </c>
      <c r="L21" s="101">
        <f>G21-B12</f>
        <v>0</v>
      </c>
      <c r="M21" s="102">
        <f>(D12/60)*0</f>
        <v>0</v>
      </c>
      <c r="N21" s="111">
        <f>IFERROR(J21*IF(AND(ISNUMBER(SEARCH(TEXT(C21,"ddd"),$G$9)),Data!$F$2),$G$12,$D$12)+K21*$G$12,"")</f>
        <v>739.14923076923083</v>
      </c>
      <c r="O21" s="89"/>
      <c r="P21" s="89"/>
      <c r="Q21" s="89"/>
    </row>
    <row r="22" spans="2:34">
      <c r="B22" s="69">
        <v>7</v>
      </c>
      <c r="C22" s="70">
        <f t="shared" si="2"/>
        <v>45675</v>
      </c>
      <c r="D22" s="71">
        <f t="shared" si="2"/>
        <v>45675</v>
      </c>
      <c r="E22" s="72">
        <v>0.38194444444444442</v>
      </c>
      <c r="F22" s="72">
        <v>6.9444444444444441E-3</v>
      </c>
      <c r="G22" s="72">
        <f t="shared" si="9"/>
        <v>0.375</v>
      </c>
      <c r="H22" s="72">
        <v>0.5</v>
      </c>
      <c r="I22" s="73">
        <v>0</v>
      </c>
      <c r="J22" s="73">
        <f t="shared" ref="J22" si="12">IFERROR(IF(AND(G22&lt;&gt;"",H22&lt;&gt;""),IF(G22&gt;$B$12+TIME($C$12,($C$12-INT($C$12))*60,0),0,IF(H22&gt;$B$12+TIME($C$12,($C$12-INT($C$12))*60,0),MIN(TIME($C$12,($C$12-INT($C$12))*60,0),($B$12+TIME($C$12,($C$12-INT($C$12))*60,0)-G22)),MIN(IF((H22-$B$12)&lt;0,0,(H22-$B$12)),(H22-G22))))*24,"")-I22,"")</f>
        <v>3</v>
      </c>
      <c r="K22" s="73">
        <f t="shared" ref="K22" si="13">IF(AND(G22&lt;&gt;"",H22&lt;&gt;""),((IF(G22&lt;$B$12,MIN($B$12-G22,H22-G22),0)+IF(H22&gt;$B$12+TIME($C$12,($C$12-INT($C$12))*60,0),MIN((H22-$B$12-TIME($C$12,($C$12-INT($C$12))*60,0)),(H22-G22)),0))*24),"")</f>
        <v>0</v>
      </c>
      <c r="L22" s="101">
        <v>0</v>
      </c>
      <c r="M22" s="102">
        <f>(D12/60)*0</f>
        <v>0</v>
      </c>
      <c r="N22" s="111">
        <f>IFERROR(J22*IF(AND(ISNUMBER(SEARCH(TEXT(C22,"ddd"),$G$9)),Data!$F$2),$G$12,$D$12)+K22*$G$12,"")</f>
        <v>246.38307692307694</v>
      </c>
      <c r="O22" s="89"/>
      <c r="P22" s="89"/>
      <c r="Q22" s="89"/>
    </row>
    <row r="23" spans="2:34">
      <c r="B23" s="69"/>
      <c r="C23" s="70">
        <f t="shared" si="2"/>
        <v>45676</v>
      </c>
      <c r="D23" s="71">
        <f t="shared" si="2"/>
        <v>45676</v>
      </c>
      <c r="E23" s="72">
        <v>0</v>
      </c>
      <c r="F23" s="72">
        <v>0</v>
      </c>
      <c r="G23" s="72">
        <f t="shared" ref="G23:G27" si="14">E23-F23</f>
        <v>0</v>
      </c>
      <c r="H23" s="72">
        <v>0</v>
      </c>
      <c r="I23" s="73">
        <v>0</v>
      </c>
      <c r="J23" s="73">
        <f t="shared" si="1"/>
        <v>0</v>
      </c>
      <c r="K23" s="73">
        <f t="shared" si="3"/>
        <v>0</v>
      </c>
      <c r="L23" s="97">
        <v>0</v>
      </c>
      <c r="M23" s="98">
        <f>(D12/60)*0</f>
        <v>0</v>
      </c>
      <c r="N23" s="111">
        <f>IFERROR(J23*IF(AND(ISNUMBER(SEARCH(TEXT(C23,"ddd"),$G$9)),Data!$F$2),$G$12,$D$12)+K23*$G$12,"")</f>
        <v>0</v>
      </c>
      <c r="O23" s="89"/>
      <c r="P23" s="89"/>
      <c r="Q23" s="89"/>
    </row>
    <row r="24" spans="2:34">
      <c r="B24" s="69">
        <v>8</v>
      </c>
      <c r="C24" s="70">
        <f t="shared" si="2"/>
        <v>45677</v>
      </c>
      <c r="D24" s="71">
        <f>D23+1</f>
        <v>45677</v>
      </c>
      <c r="E24" s="72">
        <v>0.3430555555555555</v>
      </c>
      <c r="F24" s="72">
        <v>6.9444444444444441E-3</v>
      </c>
      <c r="G24" s="72">
        <f t="shared" ref="G24" si="15">E24-F24</f>
        <v>0.33611111111111108</v>
      </c>
      <c r="H24" s="72">
        <v>0.75</v>
      </c>
      <c r="I24" s="73">
        <v>1</v>
      </c>
      <c r="J24" s="73">
        <f t="shared" si="1"/>
        <v>8.9333333333333336</v>
      </c>
      <c r="K24" s="73">
        <v>0</v>
      </c>
      <c r="L24" s="101">
        <f>G24-B12</f>
        <v>2.777777777778101E-3</v>
      </c>
      <c r="M24" s="102">
        <f>(D12/60)*4</f>
        <v>5.4751794871794877</v>
      </c>
      <c r="N24" s="111">
        <f>IFERROR(J24*IF(AND(ISNUMBER(SEARCH(TEXT(C24,"ddd"),$G$9)),Data!$F$2),$G$12,$D$12)+K24*$G$12,"")</f>
        <v>733.67405128205132</v>
      </c>
      <c r="O24" s="89"/>
      <c r="P24" s="89"/>
      <c r="Q24" s="89"/>
    </row>
    <row r="25" spans="2:34">
      <c r="B25" s="69">
        <v>9</v>
      </c>
      <c r="C25" s="70">
        <f t="shared" si="2"/>
        <v>45678</v>
      </c>
      <c r="D25" s="71">
        <f t="shared" si="2"/>
        <v>45678</v>
      </c>
      <c r="E25" s="72">
        <v>0.34097222222222223</v>
      </c>
      <c r="F25" s="72">
        <v>6.9444444444444441E-3</v>
      </c>
      <c r="G25" s="72">
        <f t="shared" si="14"/>
        <v>0.33402777777777781</v>
      </c>
      <c r="H25" s="72">
        <v>0.75</v>
      </c>
      <c r="I25" s="73">
        <v>1</v>
      </c>
      <c r="J25" s="73">
        <f t="shared" si="1"/>
        <v>8.9833333333333325</v>
      </c>
      <c r="K25" s="73">
        <f t="shared" si="3"/>
        <v>0</v>
      </c>
      <c r="L25" s="101">
        <f>G25-B12</f>
        <v>6.9444444444483056E-4</v>
      </c>
      <c r="M25" s="102">
        <f>(D12/60)*1</f>
        <v>1.3687948717948719</v>
      </c>
      <c r="N25" s="111">
        <f>IFERROR(J25*IF(AND(ISNUMBER(SEARCH(TEXT(C25,"ddd"),$G$9)),Data!$F$2),$G$12,$D$12)+K25*$G$12,"")</f>
        <v>737.78043589743584</v>
      </c>
      <c r="O25" s="95"/>
    </row>
    <row r="26" spans="2:34">
      <c r="B26" s="69">
        <v>10</v>
      </c>
      <c r="C26" s="70">
        <f t="shared" si="2"/>
        <v>45679</v>
      </c>
      <c r="D26" s="71">
        <f t="shared" si="2"/>
        <v>45679</v>
      </c>
      <c r="E26" s="72">
        <v>0.34027777777777773</v>
      </c>
      <c r="F26" s="72">
        <v>6.9444444444444441E-3</v>
      </c>
      <c r="G26" s="72">
        <f t="shared" ref="G26" si="16">E26-F26</f>
        <v>0.33333333333333331</v>
      </c>
      <c r="H26" s="72">
        <v>0.75</v>
      </c>
      <c r="I26" s="73">
        <v>1</v>
      </c>
      <c r="J26" s="73">
        <f t="shared" ref="J26" si="17">IFERROR(IF(AND(G26&lt;&gt;"",H26&lt;&gt;""),IF(G26&gt;$B$12+TIME($C$12,($C$12-INT($C$12))*60,0),0,IF(H26&gt;$B$12+TIME($C$12,($C$12-INT($C$12))*60,0),MIN(TIME($C$12,($C$12-INT($C$12))*60,0),($B$12+TIME($C$12,($C$12-INT($C$12))*60,0)-G26)),MIN(IF((H26-$B$12)&lt;0,0,(H26-$B$12)),(H26-G26))))*24,"")-I26,"")</f>
        <v>9</v>
      </c>
      <c r="K26" s="73">
        <f t="shared" ref="K26:K29" si="18">IF(AND(G26&lt;&gt;"",H26&lt;&gt;""),((IF(G26&lt;$B$12,MIN($B$12-G26,H26-G26),0)+IF(H26&gt;$B$12+TIME($C$12,($C$12-INT($C$12))*60,0),MIN((H26-$B$12-TIME($C$12,($C$12-INT($C$12))*60,0)),(H26-G26)),0))*24),"")</f>
        <v>0</v>
      </c>
      <c r="L26" s="101">
        <f>G26-B12</f>
        <v>0</v>
      </c>
      <c r="M26" s="102">
        <f>(D12/60)*0</f>
        <v>0</v>
      </c>
      <c r="N26" s="111">
        <f>IFERROR(J26*IF(AND(ISNUMBER(SEARCH(TEXT(C26,"ddd"),$G$9)),Data!$F$2),$G$12,$D$12)+K26*$G$12,"")</f>
        <v>739.14923076923083</v>
      </c>
    </row>
    <row r="27" spans="2:34">
      <c r="B27" s="69">
        <v>11</v>
      </c>
      <c r="C27" s="70">
        <f t="shared" si="2"/>
        <v>45680</v>
      </c>
      <c r="D27" s="71">
        <f t="shared" si="2"/>
        <v>45680</v>
      </c>
      <c r="E27" s="72">
        <v>0.36805555555555558</v>
      </c>
      <c r="F27" s="72">
        <v>6.9444444444444441E-3</v>
      </c>
      <c r="G27" s="72">
        <f t="shared" si="14"/>
        <v>0.36111111111111116</v>
      </c>
      <c r="H27" s="72">
        <v>0.75</v>
      </c>
      <c r="I27" s="73">
        <v>1</v>
      </c>
      <c r="J27" s="73">
        <f t="shared" si="1"/>
        <v>8.3333333333333321</v>
      </c>
      <c r="K27" s="73">
        <f t="shared" si="18"/>
        <v>0</v>
      </c>
      <c r="L27" s="101">
        <f>G27-B12</f>
        <v>2.7777777777778179E-2</v>
      </c>
      <c r="M27" s="102">
        <f>(D12/60)*40</f>
        <v>54.751794871794878</v>
      </c>
      <c r="N27" s="111">
        <f>IFERROR(J27*IF(AND(ISNUMBER(SEARCH(TEXT(C27,"ddd"),$G$9)),Data!$F$2),$D$12,$D$12)+K27*$G$12,"")</f>
        <v>684.3974358974358</v>
      </c>
      <c r="O27" s="95"/>
    </row>
    <row r="28" spans="2:34">
      <c r="B28" s="69">
        <v>12</v>
      </c>
      <c r="C28" s="70">
        <f t="shared" si="2"/>
        <v>45681</v>
      </c>
      <c r="D28" s="71">
        <f t="shared" si="2"/>
        <v>45681</v>
      </c>
      <c r="E28" s="72">
        <v>0.35138888888888892</v>
      </c>
      <c r="F28" s="72">
        <v>6.9444444444444441E-3</v>
      </c>
      <c r="G28" s="72">
        <f t="shared" ref="G28:G29" si="19">E28-F28</f>
        <v>0.3444444444444445</v>
      </c>
      <c r="H28" s="72">
        <v>0.75</v>
      </c>
      <c r="I28" s="73">
        <v>1</v>
      </c>
      <c r="J28" s="73">
        <f t="shared" si="1"/>
        <v>8.7333333333333325</v>
      </c>
      <c r="K28" s="73">
        <f t="shared" si="18"/>
        <v>0</v>
      </c>
      <c r="L28" s="101">
        <f>G28-B12</f>
        <v>1.1111111111111516E-2</v>
      </c>
      <c r="M28" s="102">
        <f>(D12/60)*16</f>
        <v>21.900717948717951</v>
      </c>
      <c r="N28" s="111">
        <f>IFERROR(J28*IF(AND(ISNUMBER(SEARCH(TEXT(C28,"ddd"),$G$9)),Data!$F$2),$G$12,$D$12)+K28*$G$12,"")</f>
        <v>717.24851282051281</v>
      </c>
      <c r="O28" s="95"/>
    </row>
    <row r="29" spans="2:34">
      <c r="B29" s="69">
        <v>13</v>
      </c>
      <c r="C29" s="70">
        <f t="shared" si="2"/>
        <v>45682</v>
      </c>
      <c r="D29" s="71">
        <f t="shared" si="2"/>
        <v>45682</v>
      </c>
      <c r="E29" s="72">
        <v>0.39166666666666666</v>
      </c>
      <c r="F29" s="72">
        <v>6.9444444444444441E-3</v>
      </c>
      <c r="G29" s="72">
        <f t="shared" si="19"/>
        <v>0.38472222222222224</v>
      </c>
      <c r="H29" s="72">
        <v>0.5</v>
      </c>
      <c r="I29" s="73">
        <v>0</v>
      </c>
      <c r="J29" s="73">
        <f t="shared" si="1"/>
        <v>2.7666666666666662</v>
      </c>
      <c r="K29" s="73">
        <f t="shared" si="18"/>
        <v>0</v>
      </c>
      <c r="L29" s="101">
        <v>0</v>
      </c>
      <c r="M29" s="102">
        <f>(D12/60)*0</f>
        <v>0</v>
      </c>
      <c r="N29" s="111">
        <f>IFERROR(J29*IF(AND(ISNUMBER(SEARCH(TEXT(C29,"ddd"),$G$9)),Data!$F$2),$G$12,$D$12)+K29*$G$12,"")</f>
        <v>227.21994871794868</v>
      </c>
      <c r="O29" s="150"/>
    </row>
    <row r="30" spans="2:34">
      <c r="B30" s="69">
        <v>14</v>
      </c>
      <c r="C30" s="70">
        <f t="shared" ref="C30:D30" si="20">C29+1</f>
        <v>45683</v>
      </c>
      <c r="D30" s="71">
        <f t="shared" si="20"/>
        <v>45683</v>
      </c>
      <c r="E30" s="72">
        <v>0</v>
      </c>
      <c r="F30" s="72">
        <v>0</v>
      </c>
      <c r="G30" s="72">
        <f t="shared" ref="G30:G33" si="21">E30-F30</f>
        <v>0</v>
      </c>
      <c r="H30" s="72">
        <v>0</v>
      </c>
      <c r="I30" s="73">
        <v>0</v>
      </c>
      <c r="J30" s="73">
        <f t="shared" ref="J30:J33" si="22">IFERROR(IF(AND(G30&lt;&gt;"",H30&lt;&gt;""),IF(G30&gt;$B$12+TIME($C$12,($C$12-INT($C$12))*60,0),0,IF(H30&gt;$B$12+TIME($C$12,($C$12-INT($C$12))*60,0),MIN(TIME($C$12,($C$12-INT($C$12))*60,0),($B$12+TIME($C$12,($C$12-INT($C$12))*60,0)-G30)),MIN(IF((H30-$B$12)&lt;0,0,(H30-$B$12)),(H30-G30))))*24,"")-I30,"")</f>
        <v>0</v>
      </c>
      <c r="K30" s="73">
        <f t="shared" ref="K30:K33" si="23">IF(AND(G30&lt;&gt;"",H30&lt;&gt;""),((IF(G30&lt;$B$12,MIN($B$12-G30,H30-G30),0)+IF(H30&gt;$B$12+TIME($C$12,($C$12-INT($C$12))*60,0),MIN((H30-$B$12-TIME($C$12,($C$12-INT($C$12))*60,0)),(H30-G30)),0))*24),"")</f>
        <v>0</v>
      </c>
      <c r="L30" s="97">
        <v>0</v>
      </c>
      <c r="M30" s="98">
        <f>(D12/60)*0</f>
        <v>0</v>
      </c>
      <c r="N30" s="111">
        <f>IFERROR(J30*IF(AND(ISNUMBER(SEARCH(TEXT(C30,"ddd"),$G$9)),Data!$F$2),$G$12,$D$12)+K30*$G$12,"")</f>
        <v>0</v>
      </c>
      <c r="O30" s="150"/>
    </row>
    <row r="31" spans="2:34">
      <c r="B31" s="69">
        <v>15</v>
      </c>
      <c r="C31" s="70">
        <f t="shared" ref="C31:D31" si="24">C30+1</f>
        <v>45684</v>
      </c>
      <c r="D31" s="71">
        <f t="shared" si="24"/>
        <v>45684</v>
      </c>
      <c r="E31" s="72">
        <v>0.3659722222222222</v>
      </c>
      <c r="F31" s="72">
        <v>6.9444444444444441E-3</v>
      </c>
      <c r="G31" s="72">
        <f t="shared" si="21"/>
        <v>0.35902777777777778</v>
      </c>
      <c r="H31" s="72">
        <v>0.75</v>
      </c>
      <c r="I31" s="73">
        <v>1</v>
      </c>
      <c r="J31" s="73">
        <f t="shared" si="22"/>
        <v>8.3833333333333329</v>
      </c>
      <c r="K31" s="73">
        <f t="shared" si="23"/>
        <v>0</v>
      </c>
      <c r="L31" s="101">
        <f>G31-B12</f>
        <v>2.5694444444444797E-2</v>
      </c>
      <c r="M31" s="102">
        <f>(D12/60)*37</f>
        <v>50.645410256410258</v>
      </c>
      <c r="N31" s="111">
        <f>IFERROR(J31*IF(AND(ISNUMBER(SEARCH(TEXT(C31,"ddd"),$G$9)),Data!$F$2),$G$12,$D$12)+K31*$G$12,"")</f>
        <v>688.50382051282054</v>
      </c>
      <c r="O31" s="150"/>
    </row>
    <row r="32" spans="2:34">
      <c r="B32" s="69">
        <v>16</v>
      </c>
      <c r="C32" s="70">
        <f t="shared" ref="C32:D32" si="25">C31+1</f>
        <v>45685</v>
      </c>
      <c r="D32" s="71">
        <f t="shared" si="25"/>
        <v>45685</v>
      </c>
      <c r="E32" s="72">
        <v>0.3576388888888889</v>
      </c>
      <c r="F32" s="72">
        <v>6.9444444444444441E-3</v>
      </c>
      <c r="G32" s="72">
        <f t="shared" si="21"/>
        <v>0.35069444444444448</v>
      </c>
      <c r="H32" s="72">
        <v>0.75</v>
      </c>
      <c r="I32" s="73">
        <v>1</v>
      </c>
      <c r="J32" s="73">
        <f t="shared" si="22"/>
        <v>8.5833333333333321</v>
      </c>
      <c r="K32" s="73">
        <f t="shared" si="23"/>
        <v>0</v>
      </c>
      <c r="L32" s="101">
        <f>G32-B12</f>
        <v>1.7361111111111494E-2</v>
      </c>
      <c r="M32" s="102">
        <f>(D12/60)*25</f>
        <v>34.2198717948718</v>
      </c>
      <c r="N32" s="111">
        <f>IFERROR(J32*IF(AND(ISNUMBER(SEARCH(TEXT(C32,"ddd"),$G$9)),Data!$F$2),$G$12,$D$12)+K32*$G$12,"")</f>
        <v>704.92935897435893</v>
      </c>
      <c r="O32" s="150"/>
    </row>
    <row r="33" spans="2:16">
      <c r="B33" s="69">
        <v>17</v>
      </c>
      <c r="C33" s="70">
        <f t="shared" ref="C33:D34" si="26">C32+1</f>
        <v>45686</v>
      </c>
      <c r="D33" s="71">
        <f t="shared" si="26"/>
        <v>45686</v>
      </c>
      <c r="E33" s="72">
        <v>0.40625</v>
      </c>
      <c r="F33" s="72">
        <v>6.9444444444444441E-3</v>
      </c>
      <c r="G33" s="72">
        <f t="shared" si="21"/>
        <v>0.39930555555555558</v>
      </c>
      <c r="H33" s="72">
        <v>0.75</v>
      </c>
      <c r="I33" s="73">
        <v>1</v>
      </c>
      <c r="J33" s="73">
        <f t="shared" si="22"/>
        <v>7.4166666666666661</v>
      </c>
      <c r="K33" s="73">
        <f t="shared" si="23"/>
        <v>0</v>
      </c>
      <c r="L33" s="101">
        <f>G33-B12</f>
        <v>6.5972222222222598E-2</v>
      </c>
      <c r="M33" s="102">
        <f>(D12/60)*95</f>
        <v>130.03551282051282</v>
      </c>
      <c r="N33" s="111">
        <f>IFERROR(J33*IF(AND(ISNUMBER(SEARCH(TEXT(C33,"ddd"),$G$9)),Data!$F$2),$G$12,$D$12)+K33*$G$12,"")</f>
        <v>609.11371794871798</v>
      </c>
      <c r="O33" s="150"/>
    </row>
    <row r="34" spans="2:16">
      <c r="B34" s="69">
        <v>18</v>
      </c>
      <c r="C34" s="70">
        <f t="shared" si="26"/>
        <v>45687</v>
      </c>
      <c r="D34" s="71">
        <f t="shared" si="26"/>
        <v>45687</v>
      </c>
      <c r="E34" s="72">
        <v>0.45833333333333331</v>
      </c>
      <c r="F34" s="72">
        <v>6.9444444444444441E-3</v>
      </c>
      <c r="G34" s="72">
        <f t="shared" ref="G34" si="27">E34-F34</f>
        <v>0.4513888888888889</v>
      </c>
      <c r="H34" s="72">
        <v>0.75</v>
      </c>
      <c r="I34" s="73">
        <v>1</v>
      </c>
      <c r="J34" s="73">
        <f t="shared" ref="J34" si="28">IFERROR(IF(AND(G34&lt;&gt;"",H34&lt;&gt;""),IF(G34&gt;$B$12+TIME($C$12,($C$12-INT($C$12))*60,0),0,IF(H34&gt;$B$12+TIME($C$12,($C$12-INT($C$12))*60,0),MIN(TIME($C$12,($C$12-INT($C$12))*60,0),($B$12+TIME($C$12,($C$12-INT($C$12))*60,0)-G34)),MIN(IF((H34-$B$12)&lt;0,0,(H34-$B$12)),(H34-G34))))*24,"")-I34,"")</f>
        <v>6.1666666666666661</v>
      </c>
      <c r="K34" s="73">
        <f t="shared" ref="K34" si="29">IF(AND(G34&lt;&gt;"",H34&lt;&gt;""),((IF(G34&lt;$B$12,MIN($B$12-G34,H34-G34),0)+IF(H34&gt;$B$12+TIME($C$12,($C$12-INT($C$12))*60,0),MIN((H34-$B$12-TIME($C$12,($C$12-INT($C$12))*60,0)),(H34-G34)),0))*24),"")</f>
        <v>0</v>
      </c>
      <c r="L34" s="101">
        <f>G34-B12</f>
        <v>0.11805555555555591</v>
      </c>
      <c r="M34" s="102">
        <f>(D12/60)*170</f>
        <v>232.69512820512821</v>
      </c>
      <c r="N34" s="111">
        <f>IFERROR(J34*IF(AND(ISNUMBER(SEARCH(TEXT(C34,"ddd"),$G$9)),Data!$F$2),$G$12,$D$12)+K34*$G$12,"")</f>
        <v>506.45410256410253</v>
      </c>
      <c r="O34" s="150"/>
    </row>
    <row r="35" spans="2:16">
      <c r="B35" s="69"/>
      <c r="C35" s="70"/>
      <c r="D35" s="71"/>
      <c r="E35" s="143"/>
      <c r="F35" s="143"/>
      <c r="G35" s="74"/>
      <c r="H35" s="75"/>
      <c r="I35" s="73"/>
      <c r="J35" s="73"/>
      <c r="K35" s="73"/>
      <c r="L35" s="110"/>
      <c r="M35" s="112"/>
      <c r="N35" s="99"/>
    </row>
    <row r="36" spans="2:16">
      <c r="B36" s="66"/>
      <c r="C36" s="76"/>
      <c r="D36" s="77"/>
      <c r="E36" s="144"/>
      <c r="F36" s="144"/>
      <c r="G36" s="597" t="s">
        <v>182</v>
      </c>
      <c r="H36" s="598"/>
      <c r="I36" s="80">
        <f>SUM(I15:I35)</f>
        <v>14</v>
      </c>
      <c r="J36" s="80">
        <f>SUM(J15:J35)</f>
        <v>127.49999999999999</v>
      </c>
      <c r="K36" s="80">
        <f>SUM(K15:K29)</f>
        <v>0</v>
      </c>
      <c r="L36" s="113">
        <f>SUM(L15:L34)</f>
        <v>0.30277777777778192</v>
      </c>
      <c r="M36" s="114">
        <f>SUM(M15:M34)</f>
        <v>596.7945641025641</v>
      </c>
      <c r="N36" s="76"/>
    </row>
    <row r="37" spans="2:16">
      <c r="B37" s="66"/>
      <c r="C37" s="76"/>
      <c r="D37" s="77"/>
      <c r="E37" s="144"/>
      <c r="F37" s="144"/>
      <c r="G37" s="81" t="s">
        <v>39</v>
      </c>
      <c r="H37" s="82"/>
      <c r="I37" s="83"/>
      <c r="J37" s="84"/>
      <c r="K37" s="116"/>
      <c r="L37" s="117">
        <f>(D12/60)*436</f>
        <v>596.79456410256421</v>
      </c>
      <c r="M37" s="118"/>
      <c r="N37" s="119">
        <f>H12*D12</f>
        <v>11087.238461538462</v>
      </c>
      <c r="O37" s="95"/>
      <c r="P37" s="136"/>
    </row>
    <row r="38" spans="2:16">
      <c r="B38" s="65"/>
      <c r="C38" s="65"/>
      <c r="D38" s="85"/>
      <c r="E38" s="85"/>
      <c r="F38" s="85"/>
      <c r="G38" s="592" t="s">
        <v>183</v>
      </c>
      <c r="H38" s="592"/>
      <c r="I38" s="80"/>
      <c r="J38" s="80">
        <f>H12-J36</f>
        <v>7.5000000000000142</v>
      </c>
      <c r="K38" s="65"/>
      <c r="L38" s="120"/>
      <c r="M38" s="65"/>
      <c r="N38" s="121">
        <f>L37</f>
        <v>596.79456410256421</v>
      </c>
      <c r="O38" s="151"/>
    </row>
    <row r="39" spans="2:16">
      <c r="B39" s="65"/>
      <c r="C39" s="65"/>
      <c r="D39" s="85"/>
      <c r="E39" s="145"/>
      <c r="F39" s="145"/>
      <c r="G39" s="78" t="s">
        <v>41</v>
      </c>
      <c r="H39" s="79"/>
      <c r="I39" s="66"/>
      <c r="J39" s="66"/>
      <c r="K39" s="80"/>
      <c r="L39" s="80"/>
      <c r="M39" s="80"/>
      <c r="N39" s="121">
        <f>N37-N38</f>
        <v>10490.443897435898</v>
      </c>
      <c r="O39" s="95"/>
    </row>
    <row r="40" spans="2:16">
      <c r="B40" s="65"/>
      <c r="C40" s="65"/>
      <c r="D40" s="85"/>
      <c r="E40" s="146"/>
      <c r="F40" s="146"/>
      <c r="G40" s="595" t="s">
        <v>202</v>
      </c>
      <c r="H40" s="596"/>
      <c r="I40" s="80"/>
      <c r="J40" s="66"/>
      <c r="K40" s="122"/>
      <c r="L40" s="122"/>
      <c r="M40" s="122"/>
      <c r="N40" s="123">
        <f>K36*G12</f>
        <v>0</v>
      </c>
      <c r="O40" s="95"/>
    </row>
    <row r="41" spans="2:16">
      <c r="B41" s="65"/>
      <c r="C41" s="65"/>
      <c r="D41" s="85"/>
      <c r="E41" s="146"/>
      <c r="F41" s="146"/>
      <c r="G41" s="86" t="s">
        <v>203</v>
      </c>
      <c r="H41" s="87"/>
      <c r="I41" s="80"/>
      <c r="J41" s="66"/>
      <c r="K41" s="122"/>
      <c r="L41" s="122"/>
      <c r="M41" s="122"/>
      <c r="N41" s="123">
        <f>N57</f>
        <v>0</v>
      </c>
    </row>
    <row r="42" spans="2:16">
      <c r="B42" s="65"/>
      <c r="C42" s="65"/>
      <c r="D42" s="85"/>
      <c r="E42" s="145"/>
      <c r="F42" s="145"/>
      <c r="G42" s="597" t="s">
        <v>186</v>
      </c>
      <c r="H42" s="598"/>
      <c r="I42" s="66"/>
      <c r="J42" s="66"/>
      <c r="K42" s="66"/>
      <c r="L42" s="66"/>
      <c r="M42" s="66"/>
      <c r="N42" s="124">
        <f>N39+N40+N41</f>
        <v>10490.443897435898</v>
      </c>
      <c r="O42" s="95"/>
    </row>
    <row r="43" spans="2:16">
      <c r="D43" s="88"/>
      <c r="E43" s="88"/>
      <c r="F43" s="88"/>
      <c r="G43" s="589"/>
      <c r="H43" s="589"/>
      <c r="I43" s="90"/>
      <c r="J43" s="90"/>
      <c r="K43" s="125"/>
      <c r="L43" s="125"/>
      <c r="M43" s="125"/>
      <c r="N43" s="126"/>
      <c r="O43" s="127"/>
    </row>
    <row r="44" spans="2:16">
      <c r="D44" s="91"/>
      <c r="E44" s="91"/>
      <c r="F44" s="91"/>
    </row>
    <row r="45" spans="2:16">
      <c r="D45" s="91"/>
      <c r="E45" s="91"/>
      <c r="F45" s="91"/>
    </row>
    <row r="46" spans="2:16">
      <c r="B46" s="590" t="s">
        <v>187</v>
      </c>
      <c r="C46" s="590"/>
      <c r="D46" s="590"/>
      <c r="E46" s="590"/>
      <c r="F46" s="590"/>
      <c r="G46" s="590"/>
      <c r="H46" s="590"/>
      <c r="I46" s="590"/>
      <c r="J46" s="590"/>
      <c r="K46" s="590"/>
      <c r="L46" s="590"/>
      <c r="M46" s="590"/>
      <c r="N46" s="590"/>
    </row>
    <row r="47" spans="2:16">
      <c r="D47" s="91"/>
      <c r="E47" s="91"/>
      <c r="F47" s="91"/>
    </row>
    <row r="48" spans="2:16">
      <c r="D48" s="91" t="s">
        <v>188</v>
      </c>
      <c r="E48" s="91"/>
      <c r="F48" s="91"/>
      <c r="N48" s="95"/>
    </row>
    <row r="49" spans="3:14">
      <c r="D49" s="54" t="s">
        <v>10</v>
      </c>
      <c r="E49" s="54"/>
      <c r="F49" s="54"/>
      <c r="G49" s="54" t="s">
        <v>11</v>
      </c>
      <c r="H49" s="54" t="s">
        <v>12</v>
      </c>
      <c r="I49" s="55" t="s">
        <v>13</v>
      </c>
    </row>
    <row r="50" spans="3:14">
      <c r="D50" s="56">
        <v>2024</v>
      </c>
      <c r="E50" s="56"/>
      <c r="F50" s="56"/>
      <c r="G50" s="56" t="s">
        <v>276</v>
      </c>
      <c r="H50" s="56">
        <v>25</v>
      </c>
      <c r="I50" s="56" t="s">
        <v>15</v>
      </c>
    </row>
    <row r="51" spans="3:14">
      <c r="D51" s="57"/>
      <c r="E51" s="57"/>
      <c r="F51" s="57"/>
      <c r="G51" s="57"/>
    </row>
    <row r="52" spans="3:14" ht="33.75">
      <c r="D52" s="58" t="s">
        <v>16</v>
      </c>
      <c r="E52" s="58"/>
      <c r="F52" s="58"/>
      <c r="G52" s="58" t="s">
        <v>17</v>
      </c>
      <c r="H52" s="58" t="s">
        <v>18</v>
      </c>
      <c r="I52" s="58" t="s">
        <v>19</v>
      </c>
    </row>
    <row r="53" spans="3:14">
      <c r="D53" s="61">
        <v>0.33333333333333298</v>
      </c>
      <c r="E53" s="61"/>
      <c r="F53" s="61"/>
      <c r="G53" s="62">
        <v>10</v>
      </c>
      <c r="H53" s="63">
        <f>D12</f>
        <v>82.127692307692314</v>
      </c>
      <c r="I53" s="130">
        <f>(H53*30%)+H53</f>
        <v>106.76600000000001</v>
      </c>
    </row>
    <row r="55" spans="3:14">
      <c r="C55" s="131" t="s">
        <v>20</v>
      </c>
      <c r="D55" s="131" t="s">
        <v>12</v>
      </c>
      <c r="E55" s="131"/>
      <c r="F55" s="131"/>
      <c r="G55" s="131" t="s">
        <v>21</v>
      </c>
      <c r="H55" s="131" t="s">
        <v>22</v>
      </c>
      <c r="I55" s="131" t="s">
        <v>23</v>
      </c>
      <c r="J55" s="131" t="s">
        <v>24</v>
      </c>
      <c r="K55" s="131" t="s">
        <v>25</v>
      </c>
      <c r="L55" s="131"/>
      <c r="M55" s="131"/>
      <c r="N55" s="131" t="s">
        <v>26</v>
      </c>
    </row>
    <row r="56" spans="3:14">
      <c r="C56" s="70" t="s">
        <v>324</v>
      </c>
      <c r="D56" s="71">
        <f>DATE($B$9,MATCH($G$50,Data!$B$2:$B$13,0),DAGOT!$H$50)</f>
        <v>46016</v>
      </c>
      <c r="E56" s="71"/>
      <c r="F56" s="71"/>
      <c r="G56" s="72">
        <v>0</v>
      </c>
      <c r="H56" s="72">
        <v>0</v>
      </c>
      <c r="I56" s="73">
        <v>0</v>
      </c>
      <c r="J56" s="73">
        <f t="shared" ref="J56" si="30">IFERROR(IF(AND(G56&lt;&gt;"",H56&lt;&gt;""),IF(G56&gt;$B$12+TIME($C$12,($C$12-INT($C$12))*60,0),0,IF(H56&gt;$B$12+TIME($C$12,($C$12-INT($C$12))*60,0),MIN(TIME($C$12,($C$12-INT($C$12))*60,0),($B$12+TIME($C$12,($C$12-INT($C$12))*60,0)-G56)),MIN(IF((H56-$B$12)&lt;0,0,(H56-$B$12)),(H56-G56))))*24,"")-I56,"")</f>
        <v>0</v>
      </c>
      <c r="K56" s="73">
        <f>IF(AND(G56&lt;&gt;"",H56&lt;&gt;""),((IF(G56&lt;$D$53,MIN($D$53-G56,H56-G56),0)+IF(H56&gt;$D$53+TIME($G$53,($G$53-INT($G$53))*60,0),MIN((H56-$D$53-TIME($G$53,($G$53-INT($G$53))*60,0)),(H56-G56)),0))*24),"")</f>
        <v>0</v>
      </c>
      <c r="L56" s="101"/>
      <c r="M56" s="102">
        <f>(D53/60)*0</f>
        <v>0</v>
      </c>
      <c r="N56" s="99">
        <f>J56*H53</f>
        <v>0</v>
      </c>
    </row>
    <row r="57" spans="3:14"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318">
        <f>SUM(N56:N56)</f>
        <v>0</v>
      </c>
    </row>
    <row r="58" spans="3:14">
      <c r="N58" s="138"/>
    </row>
    <row r="59" spans="3:14" ht="14.25" customHeight="1">
      <c r="D59" s="132"/>
      <c r="E59" s="132"/>
      <c r="F59" s="132"/>
      <c r="G59" s="133"/>
      <c r="H59" s="133"/>
      <c r="I59" s="133"/>
    </row>
    <row r="60" spans="3:14">
      <c r="D60" s="132" t="s">
        <v>190</v>
      </c>
      <c r="E60" s="132"/>
      <c r="F60" s="132"/>
      <c r="G60" s="133"/>
      <c r="H60" s="133"/>
      <c r="I60" s="133"/>
    </row>
    <row r="61" spans="3:14">
      <c r="D61" s="132"/>
      <c r="E61" s="132"/>
      <c r="F61" s="132"/>
      <c r="G61" s="133"/>
      <c r="H61" s="133"/>
      <c r="I61" s="133"/>
    </row>
    <row r="62" spans="3:14">
      <c r="D62" s="591">
        <v>44981</v>
      </c>
      <c r="E62" s="591"/>
      <c r="F62" s="591"/>
      <c r="G62" s="88">
        <v>0</v>
      </c>
      <c r="H62" s="148" t="s">
        <v>280</v>
      </c>
      <c r="I62" s="254"/>
    </row>
    <row r="63" spans="3:14">
      <c r="E63" s="88"/>
      <c r="F63" s="88"/>
      <c r="G63" s="88">
        <f>G62*H63</f>
        <v>0</v>
      </c>
      <c r="H63" s="253">
        <v>0.3</v>
      </c>
      <c r="I63" s="254"/>
    </row>
    <row r="64" spans="3:14">
      <c r="E64" s="91"/>
      <c r="F64" s="91"/>
      <c r="G64" s="91"/>
    </row>
    <row r="65" spans="3:9">
      <c r="E65" s="91"/>
      <c r="F65" s="91"/>
      <c r="G65" s="91"/>
      <c r="H65" s="91">
        <f>G63</f>
        <v>0</v>
      </c>
    </row>
    <row r="66" spans="3:9">
      <c r="D66" s="132"/>
      <c r="E66" s="132"/>
      <c r="F66" s="132"/>
      <c r="G66" s="133"/>
      <c r="H66" s="133"/>
      <c r="I66" s="133"/>
    </row>
    <row r="67" spans="3:9">
      <c r="D67" s="132"/>
      <c r="E67" s="132"/>
      <c r="F67" s="132"/>
      <c r="G67" s="133"/>
      <c r="H67" s="133"/>
      <c r="I67" s="133"/>
    </row>
    <row r="68" spans="3:9">
      <c r="D68" s="132"/>
      <c r="E68" s="132"/>
      <c r="F68" s="132"/>
      <c r="G68" s="133"/>
      <c r="H68" s="133"/>
      <c r="I68" s="133"/>
    </row>
    <row r="69" spans="3:9">
      <c r="D69" s="132"/>
      <c r="E69" s="132"/>
      <c r="F69" s="132"/>
      <c r="G69" s="133"/>
      <c r="H69" s="133"/>
      <c r="I69" s="133"/>
    </row>
    <row r="70" spans="3:9">
      <c r="D70" s="132"/>
      <c r="E70" s="132"/>
      <c r="F70" s="132"/>
      <c r="G70" s="133"/>
      <c r="H70" s="133"/>
      <c r="I70" s="133"/>
    </row>
    <row r="73" spans="3:9">
      <c r="C73" s="91" t="s">
        <v>141</v>
      </c>
    </row>
    <row r="74" spans="3:9">
      <c r="C74" t="s">
        <v>66</v>
      </c>
    </row>
    <row r="75" spans="3:9">
      <c r="C75" s="91"/>
    </row>
  </sheetData>
  <mergeCells count="13">
    <mergeCell ref="O20:Q20"/>
    <mergeCell ref="G36:H36"/>
    <mergeCell ref="G38:H38"/>
    <mergeCell ref="G40:H40"/>
    <mergeCell ref="G42:H42"/>
    <mergeCell ref="D62:F62"/>
    <mergeCell ref="A4:N4"/>
    <mergeCell ref="C5:D5"/>
    <mergeCell ref="L5:N5"/>
    <mergeCell ref="C6:D6"/>
    <mergeCell ref="L6:N6"/>
    <mergeCell ref="G43:H43"/>
    <mergeCell ref="B46:N46"/>
  </mergeCells>
  <conditionalFormatting sqref="C15:D34 N15:N35 J27:K34 J55:J56 C56:I56 K56 N56">
    <cfRule type="expression" dxfId="62" priority="73">
      <formula>ISNUMBER(SEARCH(TEXT($C15,"ddd"),$G$9))</formula>
    </cfRule>
  </conditionalFormatting>
  <conditionalFormatting sqref="C35:L35">
    <cfRule type="expression" dxfId="61" priority="68">
      <formula>ISNUMBER(SEARCH(TEXT($C35,"ddd"),$G$9))</formula>
    </cfRule>
  </conditionalFormatting>
  <conditionalFormatting sqref="E15:E19">
    <cfRule type="expression" dxfId="60" priority="71">
      <formula>ISNUMBER(SEARCH(TEXT($C15,"ddd"),$G$9))</formula>
    </cfRule>
  </conditionalFormatting>
  <conditionalFormatting sqref="E20:E21">
    <cfRule type="expression" dxfId="59" priority="25">
      <formula>ISNUMBER(SEARCH(TEXT($C20,"ddd"),$G$10))</formula>
    </cfRule>
  </conditionalFormatting>
  <conditionalFormatting sqref="E22:E34">
    <cfRule type="expression" dxfId="58" priority="21">
      <formula>ISNUMBER(SEARCH(TEXT($C22,"ddd"),$G$9))</formula>
    </cfRule>
  </conditionalFormatting>
  <conditionalFormatting sqref="F15:H34">
    <cfRule type="expression" dxfId="57" priority="1">
      <formula>ISNUMBER(SEARCH(TEXT($C15,"ddd"),$G$9))</formula>
    </cfRule>
  </conditionalFormatting>
  <conditionalFormatting sqref="I20">
    <cfRule type="expression" dxfId="56" priority="61">
      <formula>ISNUMBER(SEARCH(TEXT($C20,"ddd"),$G$10))</formula>
    </cfRule>
  </conditionalFormatting>
  <conditionalFormatting sqref="I27">
    <cfRule type="expression" dxfId="55" priority="57">
      <formula>ISNUMBER(SEARCH(TEXT($C27,"ddd"),$G$10))</formula>
    </cfRule>
  </conditionalFormatting>
  <conditionalFormatting sqref="I28:I34">
    <cfRule type="expression" dxfId="54" priority="47">
      <formula>ISNUMBER(SEARCH(TEXT($C28,"ddd"),$G$9))</formula>
    </cfRule>
  </conditionalFormatting>
  <conditionalFormatting sqref="I15:K19">
    <cfRule type="expression" dxfId="53" priority="5">
      <formula>ISNUMBER(SEARCH(TEXT($C15,"ddd"),$G$9))</formula>
    </cfRule>
  </conditionalFormatting>
  <conditionalFormatting sqref="I21:K26">
    <cfRule type="expression" dxfId="52" priority="53">
      <formula>ISNUMBER(SEARCH(TEXT($C21,"ddd"),$G$9))</formula>
    </cfRule>
  </conditionalFormatting>
  <conditionalFormatting sqref="J20:K20">
    <cfRule type="expression" dxfId="51" priority="78">
      <formula>ISNUMBER(SEARCH(TEXT($C20,"ddd"),$G$9))</formula>
    </cfRule>
  </conditionalFormatting>
  <dataValidations count="3">
    <dataValidation type="custom" allowBlank="1" showInputMessage="1" showErrorMessage="1" sqref="G56 G15:G35 E15:F34" xr:uid="{00000000-0002-0000-2F00-000000000000}">
      <formula1>AND($G15&lt;=1,ISNUMBER($G15))</formula1>
    </dataValidation>
    <dataValidation type="list" allowBlank="1" showInputMessage="1" showErrorMessage="1" sqref="H50 D9:F9" xr:uid="{00000000-0002-0000-2F00-000001000000}">
      <formula1>DateCalc</formula1>
    </dataValidation>
    <dataValidation type="custom" allowBlank="1" showInputMessage="1" showErrorMessage="1" sqref="H56 H15:H35" xr:uid="{00000000-0002-0000-2F00-000002000000}">
      <formula1>AND($H15&lt;=1,ISNUMBER($H15),($H15&gt;=$G15))</formula1>
    </dataValidation>
  </dataValidations>
  <pageMargins left="0.86250000000000004" right="0" top="0.11375" bottom="9.4791666666666663E-2" header="0.3" footer="0.3"/>
  <pageSetup paperSize="9" scale="91" orientation="landscape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6737" r:id="rId4" name="Check Box 1">
              <controlPr defaultSize="0" print="0" autoPict="0">
                <anchor moveWithCells="1">
                  <from>
                    <xdr:col>7</xdr:col>
                    <xdr:colOff>180975</xdr:colOff>
                    <xdr:row>7</xdr:row>
                    <xdr:rowOff>28575</xdr:rowOff>
                  </from>
                  <to>
                    <xdr:col>8</xdr:col>
                    <xdr:colOff>571500</xdr:colOff>
                    <xdr:row>9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2F00-000003000000}">
          <x14:formula1>
            <xm:f>Data!$A$2:$A$12</xm:f>
          </x14:formula1>
          <xm:sqref>D50:F50 B9</xm:sqref>
        </x14:dataValidation>
        <x14:dataValidation type="list" allowBlank="1" showInputMessage="1" showErrorMessage="1" xr:uid="{00000000-0002-0000-2F00-000004000000}">
          <x14:formula1>
            <xm:f>Data!$D$2:$D$16</xm:f>
          </x14:formula1>
          <xm:sqref>G9 I50</xm:sqref>
        </x14:dataValidation>
        <x14:dataValidation type="list" allowBlank="1" showInputMessage="1" showErrorMessage="1" xr:uid="{00000000-0002-0000-2F00-000005000000}">
          <x14:formula1>
            <xm:f>Data!$B$2:$B$13</xm:f>
          </x14:formula1>
          <xm:sqref>G50 C9</xm:sqref>
        </x14:dataValidation>
      </x14:dataValidation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5:AH85"/>
  <sheetViews>
    <sheetView showGridLines="0" view="pageLayout" topLeftCell="A16" zoomScaleNormal="100" workbookViewId="0">
      <selection activeCell="L34" sqref="L34"/>
    </sheetView>
  </sheetViews>
  <sheetFormatPr defaultColWidth="9" defaultRowHeight="12.75"/>
  <cols>
    <col min="1" max="1" width="1.625" customWidth="1"/>
    <col min="2" max="2" width="5.375" customWidth="1"/>
    <col min="3" max="3" width="7.125" customWidth="1"/>
    <col min="4" max="6" width="7.625" customWidth="1"/>
    <col min="7" max="7" width="10.125" customWidth="1"/>
    <col min="8" max="8" width="9.625" customWidth="1"/>
    <col min="9" max="9" width="8.125" customWidth="1"/>
    <col min="10" max="10" width="10.125" customWidth="1"/>
    <col min="11" max="11" width="7.875" customWidth="1"/>
    <col min="12" max="12" width="10.125" customWidth="1"/>
    <col min="13" max="13" width="10.375" customWidth="1"/>
    <col min="14" max="14" width="10.875" customWidth="1"/>
    <col min="15" max="15" width="16.875" customWidth="1"/>
    <col min="18" max="18" width="11.125" customWidth="1"/>
  </cols>
  <sheetData>
    <row r="5" spans="1:15" ht="25.5" customHeight="1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15" s="47" customFormat="1" ht="25.5" customHeight="1">
      <c r="A6" s="603"/>
      <c r="B6" s="603"/>
      <c r="C6" s="603"/>
      <c r="D6" s="603"/>
      <c r="E6" s="603"/>
      <c r="F6" s="603"/>
      <c r="G6" s="603"/>
      <c r="H6" s="603"/>
      <c r="I6" s="603"/>
      <c r="J6" s="603"/>
      <c r="K6" s="603"/>
      <c r="L6" s="603"/>
      <c r="M6" s="603"/>
      <c r="N6" s="603"/>
    </row>
    <row r="7" spans="1:15" ht="18.75" customHeight="1">
      <c r="C7" s="527" t="s">
        <v>3</v>
      </c>
      <c r="D7" s="527"/>
      <c r="E7" s="49"/>
      <c r="F7" s="49"/>
      <c r="G7" s="50" t="s">
        <v>330</v>
      </c>
      <c r="H7" s="51"/>
      <c r="K7" s="49" t="s">
        <v>174</v>
      </c>
      <c r="M7" s="599" t="str">
        <f>PAALAN!L7</f>
        <v>September  11-25, 2026</v>
      </c>
      <c r="N7" s="599"/>
      <c r="O7" s="599"/>
    </row>
    <row r="8" spans="1:15" ht="18.75" customHeight="1">
      <c r="C8" s="527" t="s">
        <v>175</v>
      </c>
      <c r="D8" s="527"/>
      <c r="E8" s="49"/>
      <c r="F8" s="49"/>
      <c r="G8" s="50" t="s">
        <v>331</v>
      </c>
      <c r="H8" s="51"/>
      <c r="K8" s="49" t="s">
        <v>176</v>
      </c>
      <c r="L8" s="92"/>
      <c r="M8" s="600" t="str">
        <f>PAALAN!L8</f>
        <v>9/31/2026</v>
      </c>
      <c r="N8" s="600"/>
      <c r="O8" s="600"/>
    </row>
    <row r="9" spans="1:15">
      <c r="C9" s="52"/>
      <c r="D9" s="53"/>
      <c r="E9" s="53"/>
      <c r="F9" s="53"/>
      <c r="G9" s="53"/>
    </row>
    <row r="10" spans="1:15">
      <c r="B10" s="54" t="s">
        <v>10</v>
      </c>
      <c r="C10" s="54" t="s">
        <v>11</v>
      </c>
      <c r="D10" s="54" t="s">
        <v>12</v>
      </c>
      <c r="E10" s="54"/>
      <c r="F10" s="54"/>
      <c r="G10" s="55" t="s">
        <v>13</v>
      </c>
    </row>
    <row r="11" spans="1:15">
      <c r="B11" s="56">
        <v>2024</v>
      </c>
      <c r="C11" s="56" t="s">
        <v>177</v>
      </c>
      <c r="D11" s="56">
        <v>11</v>
      </c>
      <c r="E11" s="56"/>
      <c r="F11" s="56"/>
      <c r="G11" s="56" t="s">
        <v>178</v>
      </c>
    </row>
    <row r="12" spans="1:15">
      <c r="B12" s="57"/>
      <c r="C12" s="57"/>
      <c r="H12" s="57"/>
      <c r="K12" s="57"/>
      <c r="L12" s="57"/>
      <c r="M12" s="57"/>
    </row>
    <row r="13" spans="1:15" ht="32.1" customHeight="1">
      <c r="B13" s="159" t="s">
        <v>16</v>
      </c>
      <c r="C13" s="159" t="s">
        <v>17</v>
      </c>
      <c r="D13" s="159" t="s">
        <v>18</v>
      </c>
      <c r="E13" s="160"/>
      <c r="F13" s="160"/>
      <c r="G13" s="160" t="s">
        <v>19</v>
      </c>
      <c r="H13" s="161" t="s">
        <v>179</v>
      </c>
      <c r="L13" s="93"/>
      <c r="M13" s="93"/>
      <c r="N13" s="94"/>
    </row>
    <row r="14" spans="1:15">
      <c r="B14" s="61">
        <v>0.33333333333333298</v>
      </c>
      <c r="C14" s="62">
        <v>10</v>
      </c>
      <c r="D14" s="63">
        <f>(14760.12/26)/8</f>
        <v>70.962115384615387</v>
      </c>
      <c r="E14" s="142"/>
      <c r="F14" s="142"/>
      <c r="G14" s="64">
        <f>(D14*25%)+D14</f>
        <v>88.702644230769238</v>
      </c>
      <c r="H14" s="65">
        <v>105</v>
      </c>
      <c r="I14" s="95"/>
      <c r="L14" s="57"/>
      <c r="M14" s="57"/>
      <c r="N14" s="95"/>
    </row>
    <row r="15" spans="1:15">
      <c r="N15" s="96"/>
    </row>
    <row r="16" spans="1:15" ht="23.25">
      <c r="B16" s="66"/>
      <c r="C16" s="67" t="s">
        <v>20</v>
      </c>
      <c r="D16" s="67" t="s">
        <v>12</v>
      </c>
      <c r="E16" s="67"/>
      <c r="F16" s="67"/>
      <c r="G16" s="67" t="s">
        <v>21</v>
      </c>
      <c r="H16" s="67" t="s">
        <v>22</v>
      </c>
      <c r="I16" s="68" t="s">
        <v>23</v>
      </c>
      <c r="J16" s="68" t="s">
        <v>24</v>
      </c>
      <c r="K16" s="68" t="s">
        <v>25</v>
      </c>
      <c r="L16" s="67" t="s">
        <v>180</v>
      </c>
      <c r="M16" s="134" t="s">
        <v>181</v>
      </c>
      <c r="N16" s="67" t="s">
        <v>26</v>
      </c>
    </row>
    <row r="17" spans="2:34">
      <c r="B17" s="69">
        <v>1</v>
      </c>
      <c r="C17" s="70">
        <v>45546</v>
      </c>
      <c r="D17" s="71">
        <v>45546</v>
      </c>
      <c r="E17" s="72">
        <v>0.34097222222222223</v>
      </c>
      <c r="F17" s="72">
        <v>6.9444444444444441E-3</v>
      </c>
      <c r="G17" s="72">
        <f t="shared" ref="G17:G31" si="0">E17-F17</f>
        <v>0.33402777777777781</v>
      </c>
      <c r="H17" s="72">
        <v>0.75</v>
      </c>
      <c r="I17" s="73">
        <v>1</v>
      </c>
      <c r="J17" s="73">
        <f t="shared" ref="J17:J32" si="1">IFERROR(IF(AND(G17&lt;&gt;"",H17&lt;&gt;""),IF(G17&gt;$B$14+TIME($C$14,($C$14-INT($C$14))*60,0),0,IF(H17&gt;$B$14+TIME($C$14,($C$14-INT($C$14))*60,0),MIN(TIME($C$14,($C$14-INT($C$14))*60,0),($B$14+TIME($C$14,($C$14-INT($C$14))*60,0)-G17)),MIN(IF((H17-$B$14)&lt;0,0,(H17-$B$14)),(H17-G17))))*24,"")-I17,"")</f>
        <v>8.9833333333333325</v>
      </c>
      <c r="K17" s="73">
        <f t="shared" ref="K17:K32" si="2">IF(AND(G17&lt;&gt;"",H17&lt;&gt;""),((IF(G17&lt;$B$14,MIN($B$14-G17,H17-G17),0)+IF(H17&gt;$B$14+TIME($C$14,($C$14-INT($C$14))*60,0),MIN((H17-$B$14-TIME($C$14,($C$14-INT($C$14))*60,0)),(H17-G17)),0))*24),"")</f>
        <v>0</v>
      </c>
      <c r="L17" s="110">
        <f>G17-B14</f>
        <v>6.9444444444483056E-4</v>
      </c>
      <c r="M17" s="102">
        <f>(D14/60)*1</f>
        <v>1.1827019230769231</v>
      </c>
      <c r="N17" s="111">
        <v>637.47633653846151</v>
      </c>
      <c r="O17" s="141">
        <f t="shared" ref="O17:O31" si="3">M17+N17</f>
        <v>638.65903846153844</v>
      </c>
      <c r="P17" s="100"/>
      <c r="Q17" s="89"/>
    </row>
    <row r="18" spans="2:34">
      <c r="B18" s="69">
        <v>2</v>
      </c>
      <c r="C18" s="70">
        <f t="shared" ref="C18:D31" si="4">C17+1</f>
        <v>45547</v>
      </c>
      <c r="D18" s="71">
        <f t="shared" si="4"/>
        <v>45547</v>
      </c>
      <c r="E18" s="72">
        <v>0.36944444444444446</v>
      </c>
      <c r="F18" s="72">
        <v>6.9444444444444441E-3</v>
      </c>
      <c r="G18" s="72">
        <f t="shared" si="0"/>
        <v>0.36250000000000004</v>
      </c>
      <c r="H18" s="72">
        <v>0.75</v>
      </c>
      <c r="I18" s="73">
        <v>1</v>
      </c>
      <c r="J18" s="73">
        <f t="shared" si="1"/>
        <v>8.2999999999999989</v>
      </c>
      <c r="K18" s="73">
        <f t="shared" si="2"/>
        <v>0</v>
      </c>
      <c r="L18" s="110">
        <f>G18-B14</f>
        <v>2.9166666666667063E-2</v>
      </c>
      <c r="M18" s="102">
        <f>(D14/60)*42</f>
        <v>49.673480769230771</v>
      </c>
      <c r="N18" s="99">
        <v>588.98555769230768</v>
      </c>
      <c r="O18" s="141">
        <f t="shared" si="3"/>
        <v>638.65903846153844</v>
      </c>
      <c r="P18" s="89"/>
      <c r="Q18" s="89"/>
    </row>
    <row r="19" spans="2:34">
      <c r="B19" s="69">
        <v>3</v>
      </c>
      <c r="C19" s="70">
        <f t="shared" si="4"/>
        <v>45548</v>
      </c>
      <c r="D19" s="71">
        <f t="shared" si="4"/>
        <v>45548</v>
      </c>
      <c r="E19" s="72">
        <v>0.34722222222222227</v>
      </c>
      <c r="F19" s="72">
        <v>6.9444444444444441E-3</v>
      </c>
      <c r="G19" s="72">
        <f t="shared" si="0"/>
        <v>0.34027777777777785</v>
      </c>
      <c r="H19" s="72">
        <v>0.75</v>
      </c>
      <c r="I19" s="73">
        <v>1</v>
      </c>
      <c r="J19" s="73">
        <f t="shared" si="1"/>
        <v>8.8333333333333321</v>
      </c>
      <c r="K19" s="73">
        <f t="shared" si="2"/>
        <v>0</v>
      </c>
      <c r="L19" s="110">
        <f>G19-B14</f>
        <v>6.9444444444448639E-3</v>
      </c>
      <c r="M19" s="102">
        <f>(D14/60)*10</f>
        <v>11.827019230769231</v>
      </c>
      <c r="N19" s="99">
        <v>626.83201923076922</v>
      </c>
      <c r="O19" s="141">
        <f t="shared" si="3"/>
        <v>638.65903846153844</v>
      </c>
      <c r="P19" s="100"/>
      <c r="Q19" s="104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</row>
    <row r="20" spans="2:34">
      <c r="B20" s="69">
        <v>4</v>
      </c>
      <c r="C20" s="70">
        <f t="shared" si="4"/>
        <v>45549</v>
      </c>
      <c r="D20" s="71">
        <f t="shared" si="4"/>
        <v>45549</v>
      </c>
      <c r="E20" s="72">
        <v>0</v>
      </c>
      <c r="F20" s="72">
        <v>0</v>
      </c>
      <c r="G20" s="72">
        <f t="shared" si="0"/>
        <v>0</v>
      </c>
      <c r="H20" s="72">
        <v>0</v>
      </c>
      <c r="I20" s="73">
        <v>0</v>
      </c>
      <c r="J20" s="73">
        <f t="shared" si="1"/>
        <v>0</v>
      </c>
      <c r="K20" s="73">
        <f t="shared" si="2"/>
        <v>0</v>
      </c>
      <c r="L20" s="110">
        <v>0.125</v>
      </c>
      <c r="M20" s="102">
        <f>(D14/60)*180</f>
        <v>212.88634615384615</v>
      </c>
      <c r="N20" s="111">
        <v>0</v>
      </c>
      <c r="O20" s="141">
        <f t="shared" si="3"/>
        <v>212.88634615384615</v>
      </c>
      <c r="P20" s="103"/>
      <c r="Q20" s="103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28"/>
    </row>
    <row r="21" spans="2:34">
      <c r="B21" s="69"/>
      <c r="C21" s="70">
        <f t="shared" si="4"/>
        <v>45550</v>
      </c>
      <c r="D21" s="71">
        <f t="shared" si="4"/>
        <v>45550</v>
      </c>
      <c r="E21" s="72">
        <v>0</v>
      </c>
      <c r="F21" s="72">
        <v>0</v>
      </c>
      <c r="G21" s="72">
        <f t="shared" si="0"/>
        <v>0</v>
      </c>
      <c r="H21" s="72">
        <v>0</v>
      </c>
      <c r="I21" s="73">
        <v>0</v>
      </c>
      <c r="J21" s="73">
        <f t="shared" si="1"/>
        <v>0</v>
      </c>
      <c r="K21" s="73">
        <f t="shared" si="2"/>
        <v>0</v>
      </c>
      <c r="L21" s="110">
        <v>0</v>
      </c>
      <c r="M21" s="98">
        <f>(D14/60)*0</f>
        <v>0</v>
      </c>
      <c r="N21" s="251">
        <v>0</v>
      </c>
      <c r="O21" s="141">
        <f t="shared" si="3"/>
        <v>0</v>
      </c>
      <c r="P21" s="162"/>
      <c r="Q21" s="108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4"/>
    </row>
    <row r="22" spans="2:34">
      <c r="B22" s="69">
        <v>5</v>
      </c>
      <c r="C22" s="70">
        <f t="shared" si="4"/>
        <v>45551</v>
      </c>
      <c r="D22" s="71">
        <f t="shared" si="4"/>
        <v>45551</v>
      </c>
      <c r="E22" s="72">
        <v>0.3576388888888889</v>
      </c>
      <c r="F22" s="72">
        <v>6.9444444444444441E-3</v>
      </c>
      <c r="G22" s="72">
        <f t="shared" si="0"/>
        <v>0.35069444444444448</v>
      </c>
      <c r="H22" s="72">
        <v>0.75</v>
      </c>
      <c r="I22" s="73">
        <v>1</v>
      </c>
      <c r="J22" s="73">
        <f t="shared" si="1"/>
        <v>8.5833333333333321</v>
      </c>
      <c r="K22" s="73">
        <v>0</v>
      </c>
      <c r="L22" s="110">
        <f>G22-B14</f>
        <v>1.7361111111111494E-2</v>
      </c>
      <c r="M22" s="102">
        <f>(D14/60)*25</f>
        <v>29.567548076923078</v>
      </c>
      <c r="N22" s="99">
        <v>609.09149038461533</v>
      </c>
      <c r="O22" s="141">
        <f t="shared" si="3"/>
        <v>638.65903846153844</v>
      </c>
      <c r="P22" s="163">
        <f>O21-O22</f>
        <v>-638.65903846153844</v>
      </c>
      <c r="Q22" s="135"/>
      <c r="R22" s="96">
        <v>0.40486111111111101</v>
      </c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4"/>
    </row>
    <row r="23" spans="2:34">
      <c r="B23" s="69">
        <v>6</v>
      </c>
      <c r="C23" s="70">
        <f t="shared" si="4"/>
        <v>45552</v>
      </c>
      <c r="D23" s="71">
        <f t="shared" si="4"/>
        <v>45552</v>
      </c>
      <c r="E23" s="72">
        <v>0.36874999999999997</v>
      </c>
      <c r="F23" s="72">
        <v>6.9444444444444441E-3</v>
      </c>
      <c r="G23" s="72">
        <f t="shared" si="0"/>
        <v>0.36180555555555555</v>
      </c>
      <c r="H23" s="72">
        <v>0.75</v>
      </c>
      <c r="I23" s="73">
        <v>1</v>
      </c>
      <c r="J23" s="73">
        <f t="shared" si="1"/>
        <v>8.3166666666666664</v>
      </c>
      <c r="K23" s="73">
        <f t="shared" ref="K23:K24" si="5">IF(AND(G23&lt;&gt;"",H23&lt;&gt;""),((IF(G23&lt;$B$14,MIN($B$14-G23,H23-G23),0)+IF(H23&gt;$B$14+TIME($C$14,($C$14-INT($C$14))*60,0),MIN((H23-$B$14-TIME($C$14,($C$14-INT($C$14))*60,0)),(H23-G23)),0))*24),"")</f>
        <v>0</v>
      </c>
      <c r="L23" s="110">
        <f>G23-B14</f>
        <v>2.8472222222222565E-2</v>
      </c>
      <c r="M23" s="102">
        <f>(D14/60)*41</f>
        <v>48.490778846153844</v>
      </c>
      <c r="N23" s="111">
        <v>590.16825961538461</v>
      </c>
      <c r="O23" s="141">
        <f t="shared" si="3"/>
        <v>638.65903846153844</v>
      </c>
      <c r="P23" s="150"/>
      <c r="Q23" s="89"/>
      <c r="R23" s="96">
        <v>1.0416666666666701E-2</v>
      </c>
    </row>
    <row r="24" spans="2:34">
      <c r="B24" s="69">
        <v>7</v>
      </c>
      <c r="C24" s="70">
        <f t="shared" si="4"/>
        <v>45553</v>
      </c>
      <c r="D24" s="71">
        <f t="shared" si="4"/>
        <v>45553</v>
      </c>
      <c r="E24" s="72">
        <v>0.3527777777777778</v>
      </c>
      <c r="F24" s="72">
        <v>6.9444444444444441E-3</v>
      </c>
      <c r="G24" s="72">
        <f t="shared" si="0"/>
        <v>0.34583333333333338</v>
      </c>
      <c r="H24" s="72">
        <v>0.75</v>
      </c>
      <c r="I24" s="73">
        <v>1</v>
      </c>
      <c r="J24" s="73">
        <f t="shared" si="1"/>
        <v>8.6999999999999993</v>
      </c>
      <c r="K24" s="73">
        <f t="shared" si="5"/>
        <v>0</v>
      </c>
      <c r="L24" s="110">
        <f>G24-B14</f>
        <v>1.25000000000004E-2</v>
      </c>
      <c r="M24" s="102">
        <f>(D14/60)*18</f>
        <v>21.288634615384616</v>
      </c>
      <c r="N24" s="111">
        <v>617.37040384615386</v>
      </c>
      <c r="O24" s="141">
        <f t="shared" si="3"/>
        <v>638.65903846153844</v>
      </c>
      <c r="P24" s="155"/>
      <c r="Q24" s="89"/>
      <c r="R24" s="129">
        <f>R22-R23</f>
        <v>0.39444444444444432</v>
      </c>
    </row>
    <row r="25" spans="2:34">
      <c r="B25" s="69">
        <v>8</v>
      </c>
      <c r="C25" s="70">
        <f t="shared" si="4"/>
        <v>45554</v>
      </c>
      <c r="D25" s="71">
        <f t="shared" si="4"/>
        <v>45554</v>
      </c>
      <c r="E25" s="72">
        <v>0.54861111111111105</v>
      </c>
      <c r="F25" s="72">
        <v>6.9444444444444441E-3</v>
      </c>
      <c r="G25" s="72">
        <f t="shared" si="0"/>
        <v>0.54166666666666663</v>
      </c>
      <c r="H25" s="72">
        <v>0.75</v>
      </c>
      <c r="I25" s="73">
        <v>0</v>
      </c>
      <c r="J25" s="73">
        <f t="shared" si="1"/>
        <v>5.0000000000000009</v>
      </c>
      <c r="K25" s="73">
        <f t="shared" si="2"/>
        <v>0</v>
      </c>
      <c r="L25" s="110">
        <v>0.16666666666666666</v>
      </c>
      <c r="M25" s="102">
        <f>(D14/60)*240</f>
        <v>283.84846153846155</v>
      </c>
      <c r="N25" s="111">
        <v>354.81057692307701</v>
      </c>
      <c r="O25" s="141">
        <f t="shared" si="3"/>
        <v>638.65903846153856</v>
      </c>
      <c r="P25" s="89"/>
      <c r="Q25" s="89"/>
    </row>
    <row r="26" spans="2:34">
      <c r="B26" s="69">
        <v>9</v>
      </c>
      <c r="C26" s="70">
        <f t="shared" si="4"/>
        <v>45555</v>
      </c>
      <c r="D26" s="71">
        <f t="shared" si="4"/>
        <v>45555</v>
      </c>
      <c r="E26" s="72">
        <v>0.3430555555555555</v>
      </c>
      <c r="F26" s="72">
        <v>6.9444444444444441E-3</v>
      </c>
      <c r="G26" s="72">
        <f t="shared" si="0"/>
        <v>0.33611111111111108</v>
      </c>
      <c r="H26" s="72">
        <v>0.75</v>
      </c>
      <c r="I26" s="73">
        <v>1</v>
      </c>
      <c r="J26" s="73">
        <f t="shared" si="1"/>
        <v>8.9333333333333336</v>
      </c>
      <c r="K26" s="73">
        <f t="shared" si="2"/>
        <v>0</v>
      </c>
      <c r="L26" s="110">
        <f>G26-B14</f>
        <v>2.777777777778101E-3</v>
      </c>
      <c r="M26" s="102">
        <f>(D14/60)*4</f>
        <v>4.7308076923076925</v>
      </c>
      <c r="N26" s="111">
        <v>633.92823076923082</v>
      </c>
      <c r="O26" s="141">
        <f t="shared" si="3"/>
        <v>638.65903846153856</v>
      </c>
      <c r="P26" s="89"/>
      <c r="Q26" s="89"/>
    </row>
    <row r="27" spans="2:34">
      <c r="B27" s="69">
        <v>10</v>
      </c>
      <c r="C27" s="70">
        <f t="shared" si="4"/>
        <v>45556</v>
      </c>
      <c r="D27" s="71">
        <f t="shared" si="4"/>
        <v>45556</v>
      </c>
      <c r="E27" s="72">
        <v>0.38750000000000001</v>
      </c>
      <c r="F27" s="72">
        <v>6.9444444444444441E-3</v>
      </c>
      <c r="G27" s="72">
        <f t="shared" si="0"/>
        <v>0.38055555555555559</v>
      </c>
      <c r="H27" s="72">
        <v>0.5</v>
      </c>
      <c r="I27" s="73">
        <v>0</v>
      </c>
      <c r="J27" s="73">
        <f t="shared" si="1"/>
        <v>2.8666666666666658</v>
      </c>
      <c r="K27" s="73">
        <f t="shared" si="2"/>
        <v>0</v>
      </c>
      <c r="L27" s="110">
        <v>5.5555555555555558E-3</v>
      </c>
      <c r="M27" s="102">
        <f>(D14/60)*8</f>
        <v>9.461615384615385</v>
      </c>
      <c r="N27" s="111">
        <v>203.42473076923071</v>
      </c>
      <c r="O27" s="141">
        <f t="shared" si="3"/>
        <v>212.88634615384609</v>
      </c>
      <c r="P27" s="127"/>
      <c r="Q27" s="89"/>
    </row>
    <row r="28" spans="2:34">
      <c r="B28" s="69"/>
      <c r="C28" s="70">
        <f t="shared" si="4"/>
        <v>45557</v>
      </c>
      <c r="D28" s="71">
        <f t="shared" si="4"/>
        <v>45557</v>
      </c>
      <c r="E28" s="72">
        <v>0</v>
      </c>
      <c r="F28" s="72">
        <v>0</v>
      </c>
      <c r="G28" s="72">
        <f t="shared" si="0"/>
        <v>0</v>
      </c>
      <c r="H28" s="72">
        <v>0</v>
      </c>
      <c r="I28" s="73">
        <v>0</v>
      </c>
      <c r="J28" s="73">
        <f t="shared" si="1"/>
        <v>0</v>
      </c>
      <c r="K28" s="73">
        <f t="shared" si="2"/>
        <v>0</v>
      </c>
      <c r="L28" s="110">
        <v>0</v>
      </c>
      <c r="M28" s="98">
        <f>(D14/60)*0</f>
        <v>0</v>
      </c>
      <c r="N28" s="251">
        <v>0</v>
      </c>
      <c r="O28" s="141">
        <f t="shared" si="3"/>
        <v>0</v>
      </c>
      <c r="Q28" s="89"/>
    </row>
    <row r="29" spans="2:34">
      <c r="B29" s="69">
        <v>11</v>
      </c>
      <c r="C29" s="70">
        <f t="shared" si="4"/>
        <v>45558</v>
      </c>
      <c r="D29" s="71">
        <f t="shared" si="4"/>
        <v>45558</v>
      </c>
      <c r="E29" s="72">
        <v>0.34791666666666665</v>
      </c>
      <c r="F29" s="72">
        <v>6.9444444444444441E-3</v>
      </c>
      <c r="G29" s="72">
        <f t="shared" si="0"/>
        <v>0.34097222222222223</v>
      </c>
      <c r="H29" s="72">
        <v>0.75</v>
      </c>
      <c r="I29" s="73">
        <v>1</v>
      </c>
      <c r="J29" s="73">
        <v>3</v>
      </c>
      <c r="K29" s="73">
        <v>0</v>
      </c>
      <c r="L29" s="110">
        <f>G29-B14</f>
        <v>7.6388888888892503E-3</v>
      </c>
      <c r="M29" s="102">
        <f>(D14/60)*11</f>
        <v>13.009721153846154</v>
      </c>
      <c r="N29" s="111">
        <v>212.88634615384615</v>
      </c>
      <c r="O29" s="141">
        <f t="shared" si="3"/>
        <v>225.89606730769231</v>
      </c>
      <c r="P29" s="95">
        <f>O28-O29</f>
        <v>-225.89606730769231</v>
      </c>
      <c r="Q29" s="89"/>
    </row>
    <row r="30" spans="2:34">
      <c r="B30" s="69">
        <v>12</v>
      </c>
      <c r="C30" s="70">
        <f t="shared" si="4"/>
        <v>45559</v>
      </c>
      <c r="D30" s="71">
        <f t="shared" si="4"/>
        <v>45559</v>
      </c>
      <c r="E30" s="72">
        <v>0</v>
      </c>
      <c r="F30" s="72">
        <v>0</v>
      </c>
      <c r="G30" s="72">
        <v>0</v>
      </c>
      <c r="H30" s="72">
        <v>0</v>
      </c>
      <c r="I30" s="73">
        <v>0</v>
      </c>
      <c r="J30" s="73">
        <f t="shared" si="1"/>
        <v>0</v>
      </c>
      <c r="K30" s="73">
        <f t="shared" ref="K30:K31" si="6">IF(AND(G30&lt;&gt;"",H30&lt;&gt;""),((IF(G30&lt;$B$14,MIN($B$14-G30,H30-G30),0)+IF(H30&gt;$B$14+TIME($C$14,($C$14-INT($C$14))*60,0),MIN((H30-$B$14-TIME($C$14,($C$14-INT($C$14))*60,0)),(H30-G30)),0))*24),"")</f>
        <v>0</v>
      </c>
      <c r="L30" s="110">
        <v>0.375</v>
      </c>
      <c r="M30" s="102">
        <f>(D14/60)*540</f>
        <v>638.65903846153844</v>
      </c>
      <c r="N30" s="111">
        <v>0</v>
      </c>
      <c r="O30" s="141">
        <f t="shared" si="3"/>
        <v>638.65903846153844</v>
      </c>
      <c r="P30" s="127"/>
      <c r="Q30" s="89"/>
    </row>
    <row r="31" spans="2:34">
      <c r="B31" s="69">
        <v>13</v>
      </c>
      <c r="C31" s="70">
        <f t="shared" si="4"/>
        <v>45560</v>
      </c>
      <c r="D31" s="71">
        <f t="shared" si="4"/>
        <v>45560</v>
      </c>
      <c r="E31" s="72">
        <v>0.3444444444444445</v>
      </c>
      <c r="F31" s="72">
        <v>6.9444444444444441E-3</v>
      </c>
      <c r="G31" s="72">
        <f t="shared" si="0"/>
        <v>0.33750000000000008</v>
      </c>
      <c r="H31" s="72">
        <v>0.75</v>
      </c>
      <c r="I31" s="73">
        <v>1</v>
      </c>
      <c r="J31" s="73">
        <f t="shared" si="1"/>
        <v>8.8999999999999986</v>
      </c>
      <c r="K31" s="73">
        <f t="shared" si="6"/>
        <v>0</v>
      </c>
      <c r="L31" s="110">
        <f>G31-B14</f>
        <v>4.166666666667096E-3</v>
      </c>
      <c r="M31" s="102">
        <f>(D14/60)*6</f>
        <v>7.0962115384615387</v>
      </c>
      <c r="N31" s="111">
        <v>631.56282692307684</v>
      </c>
      <c r="O31" s="141">
        <f t="shared" si="3"/>
        <v>638.65903846153833</v>
      </c>
      <c r="P31" s="95">
        <f>O28-O31</f>
        <v>-638.65903846153833</v>
      </c>
    </row>
    <row r="32" spans="2:34">
      <c r="B32" s="69"/>
      <c r="C32" s="70"/>
      <c r="D32" s="71"/>
      <c r="E32" s="71"/>
      <c r="F32" s="71"/>
      <c r="G32" s="72"/>
      <c r="H32" s="72"/>
      <c r="I32" s="73"/>
      <c r="J32" s="73" t="str">
        <f t="shared" si="1"/>
        <v/>
      </c>
      <c r="K32" s="73" t="str">
        <f t="shared" si="2"/>
        <v/>
      </c>
      <c r="L32" s="110"/>
      <c r="M32" s="102"/>
      <c r="N32" s="99"/>
      <c r="O32" s="164"/>
      <c r="P32" s="127"/>
    </row>
    <row r="33" spans="2:17">
      <c r="B33" s="66"/>
      <c r="C33" s="76"/>
      <c r="D33" s="77"/>
      <c r="E33" s="144"/>
      <c r="F33" s="144"/>
      <c r="G33" s="597" t="s">
        <v>182</v>
      </c>
      <c r="H33" s="598"/>
      <c r="I33" s="80">
        <f t="shared" ref="I33:L33" si="7">SUM(I17:I32)</f>
        <v>9</v>
      </c>
      <c r="J33" s="80">
        <f t="shared" si="7"/>
        <v>80.416666666666657</v>
      </c>
      <c r="K33" s="80">
        <f t="shared" si="7"/>
        <v>0</v>
      </c>
      <c r="L33" s="113">
        <f t="shared" si="7"/>
        <v>0.78194444444444788</v>
      </c>
      <c r="M33" s="114">
        <f>SUM(M17:M32)</f>
        <v>1331.7223653846154</v>
      </c>
      <c r="N33" s="66"/>
      <c r="O33" s="165">
        <f>SUM(O17:O31)</f>
        <v>7038.2591442307685</v>
      </c>
      <c r="P33" s="165">
        <f>SUM(P17:P31)</f>
        <v>-1503.2141442307691</v>
      </c>
      <c r="Q33" s="95">
        <f>O33+P33</f>
        <v>5535.0449999999992</v>
      </c>
    </row>
    <row r="34" spans="2:17">
      <c r="B34" s="66"/>
      <c r="C34" s="76"/>
      <c r="D34" s="77"/>
      <c r="E34" s="144"/>
      <c r="F34" s="144"/>
      <c r="G34" s="81" t="s">
        <v>39</v>
      </c>
      <c r="H34" s="82"/>
      <c r="I34" s="83"/>
      <c r="J34" s="84"/>
      <c r="K34" s="116"/>
      <c r="L34" s="102">
        <f>(D14/60)*1126</f>
        <v>1331.7223653846154</v>
      </c>
      <c r="M34" s="118"/>
      <c r="N34" s="166">
        <f>(D14*H14)-N54</f>
        <v>7451.022115384616</v>
      </c>
      <c r="O34" s="95"/>
      <c r="P34" s="95"/>
      <c r="Q34" s="95"/>
    </row>
    <row r="35" spans="2:17">
      <c r="B35" s="65"/>
      <c r="C35" s="65"/>
      <c r="D35" s="85"/>
      <c r="E35" s="85"/>
      <c r="F35" s="85"/>
      <c r="G35" s="592" t="s">
        <v>183</v>
      </c>
      <c r="H35" s="592"/>
      <c r="I35" s="80"/>
      <c r="J35" s="80">
        <f>H14-J33</f>
        <v>24.583333333333343</v>
      </c>
      <c r="K35" s="65"/>
      <c r="L35" s="102"/>
      <c r="M35" s="65"/>
      <c r="N35" s="121">
        <f>M33</f>
        <v>1331.7223653846154</v>
      </c>
      <c r="O35" s="151">
        <f>O33-O34</f>
        <v>7038.2591442307685</v>
      </c>
      <c r="P35" s="95"/>
      <c r="Q35" s="95"/>
    </row>
    <row r="36" spans="2:17">
      <c r="B36" s="65"/>
      <c r="C36" s="65"/>
      <c r="D36" s="85"/>
      <c r="E36" s="145"/>
      <c r="F36" s="145"/>
      <c r="G36" s="78" t="s">
        <v>41</v>
      </c>
      <c r="H36" s="79"/>
      <c r="I36" s="66"/>
      <c r="J36" s="66"/>
      <c r="K36" s="80"/>
      <c r="L36" s="80"/>
      <c r="M36" s="80"/>
      <c r="N36" s="121">
        <f>N34-N35</f>
        <v>6119.2997500000001</v>
      </c>
      <c r="O36" s="95"/>
      <c r="P36" s="95"/>
      <c r="Q36" s="95"/>
    </row>
    <row r="37" spans="2:17">
      <c r="B37" s="65"/>
      <c r="C37" s="65"/>
      <c r="D37" s="85"/>
      <c r="E37" s="146"/>
      <c r="F37" s="146"/>
      <c r="G37" s="604" t="s">
        <v>184</v>
      </c>
      <c r="H37" s="605"/>
      <c r="I37" s="80"/>
      <c r="J37" s="66"/>
      <c r="K37" s="122"/>
      <c r="L37" s="122"/>
      <c r="M37" s="122"/>
      <c r="N37" s="123">
        <f>K33*G14</f>
        <v>0</v>
      </c>
      <c r="O37" s="95"/>
    </row>
    <row r="38" spans="2:17">
      <c r="B38" s="65"/>
      <c r="C38" s="65"/>
      <c r="D38" s="85"/>
      <c r="E38" s="146"/>
      <c r="F38" s="146"/>
      <c r="G38" s="86" t="s">
        <v>185</v>
      </c>
      <c r="H38" s="87"/>
      <c r="I38" s="80"/>
      <c r="J38" s="66"/>
      <c r="K38" s="122"/>
      <c r="L38" s="122"/>
      <c r="M38" s="122"/>
      <c r="N38" s="123">
        <f>N54</f>
        <v>0</v>
      </c>
      <c r="O38" s="95"/>
    </row>
    <row r="39" spans="2:17">
      <c r="B39" s="65"/>
      <c r="C39" s="65"/>
      <c r="D39" s="85"/>
      <c r="E39" s="145"/>
      <c r="F39" s="145"/>
      <c r="G39" s="597" t="s">
        <v>186</v>
      </c>
      <c r="H39" s="598"/>
      <c r="I39" s="66"/>
      <c r="J39" s="66"/>
      <c r="K39" s="66"/>
      <c r="L39" s="66"/>
      <c r="M39" s="66"/>
      <c r="N39" s="124">
        <f>N36+N37+N38</f>
        <v>6119.2997500000001</v>
      </c>
      <c r="O39" s="95"/>
    </row>
    <row r="40" spans="2:17">
      <c r="D40" s="88"/>
      <c r="E40" s="88"/>
      <c r="F40" s="88"/>
      <c r="G40" s="589"/>
      <c r="H40" s="589"/>
      <c r="I40" s="90"/>
      <c r="J40" s="90"/>
      <c r="K40" s="125"/>
      <c r="L40" s="125"/>
      <c r="M40" s="125"/>
      <c r="N40" s="126"/>
      <c r="O40" s="127"/>
    </row>
    <row r="41" spans="2:17">
      <c r="D41" s="91"/>
      <c r="E41" s="91"/>
      <c r="F41" s="91"/>
      <c r="M41" t="s">
        <v>196</v>
      </c>
    </row>
    <row r="42" spans="2:17">
      <c r="B42" s="590" t="s">
        <v>187</v>
      </c>
      <c r="C42" s="590"/>
      <c r="D42" s="590"/>
      <c r="E42" s="590"/>
      <c r="F42" s="590"/>
      <c r="G42" s="590"/>
      <c r="H42" s="590"/>
      <c r="I42" s="590"/>
      <c r="J42" s="590"/>
      <c r="K42" s="590"/>
      <c r="L42" s="590"/>
      <c r="M42" s="590"/>
      <c r="N42" s="590"/>
    </row>
    <row r="43" spans="2:17">
      <c r="D43" s="91"/>
      <c r="E43" s="91"/>
      <c r="F43" s="91"/>
    </row>
    <row r="44" spans="2:17">
      <c r="D44" s="91" t="s">
        <v>188</v>
      </c>
      <c r="E44" s="91"/>
      <c r="F44" s="91"/>
      <c r="N44" s="95"/>
    </row>
    <row r="45" spans="2:17">
      <c r="D45" s="54" t="s">
        <v>10</v>
      </c>
      <c r="E45" s="54"/>
      <c r="F45" s="54"/>
      <c r="G45" s="54" t="s">
        <v>11</v>
      </c>
      <c r="H45" s="54" t="s">
        <v>12</v>
      </c>
      <c r="I45" s="55" t="s">
        <v>13</v>
      </c>
    </row>
    <row r="46" spans="2:17">
      <c r="D46" s="56">
        <v>2024</v>
      </c>
      <c r="E46" s="56"/>
      <c r="F46" s="56"/>
      <c r="G46" s="56" t="s">
        <v>204</v>
      </c>
      <c r="H46" s="56">
        <v>12</v>
      </c>
      <c r="I46" s="56" t="s">
        <v>15</v>
      </c>
    </row>
    <row r="47" spans="2:17">
      <c r="D47" s="57"/>
      <c r="E47" s="57"/>
      <c r="F47" s="57"/>
      <c r="G47" s="57"/>
    </row>
    <row r="48" spans="2:17" ht="33.75">
      <c r="D48" s="159" t="s">
        <v>16</v>
      </c>
      <c r="E48" s="159"/>
      <c r="F48" s="159"/>
      <c r="G48" s="159" t="s">
        <v>17</v>
      </c>
      <c r="H48" s="159" t="s">
        <v>18</v>
      </c>
      <c r="I48" s="159" t="s">
        <v>19</v>
      </c>
    </row>
    <row r="49" spans="3:14">
      <c r="D49" s="61">
        <v>0.33333333333333298</v>
      </c>
      <c r="E49" s="61"/>
      <c r="F49" s="61"/>
      <c r="G49" s="62">
        <v>10</v>
      </c>
      <c r="H49" s="63">
        <f>D14</f>
        <v>70.962115384615387</v>
      </c>
      <c r="I49" s="130">
        <f>(H49*30%)+H49</f>
        <v>92.250750000000011</v>
      </c>
    </row>
    <row r="51" spans="3:14">
      <c r="C51" s="131" t="s">
        <v>20</v>
      </c>
      <c r="D51" s="131" t="s">
        <v>12</v>
      </c>
      <c r="E51" s="131"/>
      <c r="F51" s="131"/>
      <c r="G51" s="131" t="s">
        <v>21</v>
      </c>
      <c r="H51" s="131" t="s">
        <v>22</v>
      </c>
      <c r="I51" s="131" t="s">
        <v>23</v>
      </c>
      <c r="J51" s="131" t="s">
        <v>24</v>
      </c>
      <c r="K51" s="131" t="s">
        <v>25</v>
      </c>
      <c r="L51" s="131"/>
      <c r="M51" s="131"/>
      <c r="N51" s="131" t="s">
        <v>26</v>
      </c>
    </row>
    <row r="52" spans="3:14">
      <c r="C52" s="70" t="s">
        <v>324</v>
      </c>
      <c r="D52" s="71">
        <v>45455</v>
      </c>
      <c r="E52" s="71"/>
      <c r="F52" s="71"/>
      <c r="G52" s="72">
        <v>0</v>
      </c>
      <c r="H52" s="72">
        <v>0</v>
      </c>
      <c r="I52" s="73">
        <v>0</v>
      </c>
      <c r="J52" s="73">
        <f>IFERROR(IF(AND(G52&lt;&gt;"",H52&lt;&gt;""),IF(G52&gt;$B$14+TIME($C$14,($C$14-INT($C$14))*60,0),0,IF(H52&gt;$B$14+TIME($C$14,($C$14-INT($C$14))*60,0),MIN(TIME($C$14,($C$14-INT($C$14))*60,0),($B$14+TIME($C$14,($C$14-INT($C$14))*60,0)-G52)),MIN(IF((H52-$B$14)&lt;0,0,(H52-$B$14)),(H52-G52))))*24,"")-I52,"")</f>
        <v>0</v>
      </c>
      <c r="K52" s="73">
        <f>IF(AND(G52&lt;&gt;"",H52&lt;&gt;""),((IF(G52&lt;$D$49,MIN($D$49-G52,H52-G52),0)+IF(H52&gt;$D$49+TIME($G$49,($G$49-INT($G$49))*60,0),MIN((H52-$D$49-TIME($G$49,($G$49-INT($G$49))*60,0)),(H52-G52)),0))*24),"")</f>
        <v>0</v>
      </c>
      <c r="L52" s="73"/>
      <c r="M52" s="73"/>
      <c r="N52" s="99">
        <f>H49*J52</f>
        <v>0</v>
      </c>
    </row>
    <row r="53" spans="3:14">
      <c r="C53" s="70" t="s">
        <v>210</v>
      </c>
      <c r="D53" s="71">
        <v>17</v>
      </c>
      <c r="E53" s="71"/>
      <c r="F53" s="71"/>
      <c r="G53" s="72">
        <v>0</v>
      </c>
      <c r="H53" s="72">
        <v>0</v>
      </c>
      <c r="I53" s="73">
        <v>0</v>
      </c>
      <c r="J53" s="73">
        <f>IFERROR(IF(AND(G53&lt;&gt;"",H53&lt;&gt;""),IF(G53&gt;$B$14+TIME($C$14,($C$14-INT($C$14))*60,0),0,IF(H53&gt;$B$14+TIME($C$14,($C$14-INT($C$14))*60,0),MIN(TIME($C$14,($C$14-INT($C$14))*60,0),($B$14+TIME($C$14,($C$14-INT($C$14))*60,0)-G53)),MIN(IF((H53-$B$14)&lt;0,0,(H53-$B$14)),(H53-G53))))*24,"")-I53,"")</f>
        <v>0</v>
      </c>
      <c r="K53" s="73">
        <v>0</v>
      </c>
      <c r="L53" s="73"/>
      <c r="M53" s="73"/>
      <c r="N53" s="99">
        <f>H49*J53</f>
        <v>0</v>
      </c>
    </row>
    <row r="54" spans="3:14"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318">
        <f>SUM(N52:N53)</f>
        <v>0</v>
      </c>
    </row>
    <row r="55" spans="3:14">
      <c r="N55" s="138"/>
    </row>
    <row r="56" spans="3:14">
      <c r="N56" s="138"/>
    </row>
    <row r="57" spans="3:14">
      <c r="N57" s="138"/>
    </row>
    <row r="58" spans="3:14">
      <c r="N58" s="138"/>
    </row>
    <row r="59" spans="3:14">
      <c r="N59" s="138"/>
    </row>
    <row r="60" spans="3:14">
      <c r="N60" s="138"/>
    </row>
    <row r="61" spans="3:14">
      <c r="N61" s="138"/>
    </row>
    <row r="62" spans="3:14">
      <c r="N62" s="138"/>
    </row>
    <row r="63" spans="3:14">
      <c r="N63" s="138"/>
    </row>
    <row r="64" spans="3:14">
      <c r="N64" s="138"/>
    </row>
    <row r="65" spans="3:14">
      <c r="D65" s="132"/>
      <c r="E65" s="132"/>
      <c r="F65" s="132"/>
      <c r="G65" s="133"/>
      <c r="H65" s="133"/>
      <c r="I65" s="133"/>
    </row>
    <row r="66" spans="3:14">
      <c r="D66" s="132"/>
      <c r="E66" s="132"/>
      <c r="F66" s="132"/>
      <c r="G66" s="133"/>
      <c r="H66" s="133"/>
      <c r="I66" s="133"/>
    </row>
    <row r="67" spans="3:14">
      <c r="D67" s="132" t="s">
        <v>190</v>
      </c>
      <c r="E67" s="132"/>
      <c r="F67" s="132"/>
      <c r="G67" s="133"/>
      <c r="H67" s="133"/>
      <c r="I67" s="133"/>
    </row>
    <row r="68" spans="3:14">
      <c r="D68" s="54" t="s">
        <v>10</v>
      </c>
      <c r="E68" s="54"/>
      <c r="F68" s="54"/>
      <c r="G68" s="54" t="s">
        <v>11</v>
      </c>
      <c r="H68" s="54" t="s">
        <v>12</v>
      </c>
      <c r="I68" s="55" t="s">
        <v>13</v>
      </c>
    </row>
    <row r="69" spans="3:14">
      <c r="D69" s="56">
        <v>2022</v>
      </c>
      <c r="E69" s="56"/>
      <c r="F69" s="56"/>
      <c r="G69" s="56" t="s">
        <v>189</v>
      </c>
      <c r="H69" s="56">
        <v>27</v>
      </c>
      <c r="I69" s="56" t="s">
        <v>15</v>
      </c>
    </row>
    <row r="70" spans="3:14">
      <c r="D70" s="57"/>
      <c r="E70" s="57"/>
      <c r="F70" s="57"/>
      <c r="G70" s="57"/>
    </row>
    <row r="71" spans="3:14" ht="33.75">
      <c r="D71" s="159" t="s">
        <v>16</v>
      </c>
      <c r="E71" s="159"/>
      <c r="F71" s="159"/>
      <c r="G71" s="159" t="s">
        <v>17</v>
      </c>
      <c r="H71" s="159" t="s">
        <v>191</v>
      </c>
      <c r="I71" s="167"/>
      <c r="J71" t="s">
        <v>192</v>
      </c>
    </row>
    <row r="72" spans="3:14">
      <c r="D72" s="61">
        <v>0.33333333333333298</v>
      </c>
      <c r="E72" s="61"/>
      <c r="F72" s="61"/>
      <c r="G72" s="62">
        <v>9</v>
      </c>
      <c r="H72" s="63">
        <v>45.63</v>
      </c>
      <c r="I72" s="130"/>
    </row>
    <row r="74" spans="3:14"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</row>
    <row r="75" spans="3:14">
      <c r="C75" s="131"/>
      <c r="D75" s="131" t="s">
        <v>12</v>
      </c>
      <c r="E75" s="131"/>
      <c r="F75" s="131"/>
      <c r="G75" s="131" t="s">
        <v>21</v>
      </c>
      <c r="H75" s="131" t="s">
        <v>22</v>
      </c>
      <c r="I75" s="131" t="s">
        <v>23</v>
      </c>
      <c r="J75" s="131" t="s">
        <v>24</v>
      </c>
      <c r="K75" s="131" t="s">
        <v>25</v>
      </c>
      <c r="L75" s="131"/>
      <c r="M75" s="131"/>
      <c r="N75" s="131" t="s">
        <v>26</v>
      </c>
    </row>
    <row r="76" spans="3:14">
      <c r="C76" s="70" t="s">
        <v>193</v>
      </c>
      <c r="D76" s="71">
        <v>27</v>
      </c>
      <c r="E76" s="71"/>
      <c r="F76" s="71"/>
      <c r="G76" s="72">
        <v>0</v>
      </c>
      <c r="H76" s="72">
        <v>0</v>
      </c>
      <c r="I76" s="73"/>
      <c r="J76" s="73">
        <f>IFERROR(IF(AND(G76&lt;&gt;"",H76&lt;&gt;""),IF(G76&gt;$B$14+TIME($C$14,($C$14-INT($C$14))*60,0),0,IF(H76&gt;$B$14+TIME($C$14,($C$14-INT($C$14))*60,0),MIN(TIME($C$14,($C$14-INT($C$14))*60,0),($B$14+TIME($C$14,($C$14-INT($C$14))*60,0)-G76)),MIN(IF((H76-$B$14)&lt;0,0,(H76-$B$14)),(H76-G76))))*24,"")-I76,"")</f>
        <v>0</v>
      </c>
      <c r="K76" s="73">
        <f>IF(AND(G76&lt;&gt;"",H76&lt;&gt;""),((IF(G76&lt;$B$14,MIN($B$14-G76,H76-G76),0)+IF(H76&gt;$B$14+TIME($C$14,($C$14-INT($C$14))*60,0),MIN((H76-$B$14-TIME($C$14,($C$14-INT($C$14))*60,0)),(H76-G76)),0))*24),"")</f>
        <v>0</v>
      </c>
      <c r="L76" s="110"/>
      <c r="M76" s="102"/>
      <c r="N76" s="99">
        <f>(H72+(H72*169%))*K76</f>
        <v>0</v>
      </c>
    </row>
    <row r="77" spans="3:14">
      <c r="C77" s="70" t="s">
        <v>193</v>
      </c>
      <c r="D77" s="71">
        <v>3</v>
      </c>
      <c r="E77" s="71"/>
      <c r="F77" s="71"/>
      <c r="G77" s="72">
        <v>0</v>
      </c>
      <c r="H77" s="72">
        <v>0</v>
      </c>
      <c r="I77" s="73"/>
      <c r="J77" s="73">
        <f>IFERROR(IF(AND(G77&lt;&gt;"",H77&lt;&gt;""),IF(G77&gt;$B$14+TIME($C$14,($C$14-INT($C$14))*60,0),0,IF(H77&gt;$B$14+TIME($C$14,($C$14-INT($C$14))*60,0),MIN(TIME($C$14,($C$14-INT($C$14))*60,0),($B$14+TIME($C$14,($C$14-INT($C$14))*60,0)-G77)),MIN(IF((H77-$B$14)&lt;0,0,(H77-$B$14)),(H77-G77))))*24,"")-I77,"")</f>
        <v>0</v>
      </c>
      <c r="K77" s="73">
        <f>IF(AND(G77&lt;&gt;"",H77&lt;&gt;""),((IF(G77&lt;$D$49,MIN($D$49-G77,H77-G77),0)+IF(H77&gt;$D$49+TIME($G$49,($G$49-INT($G$49))*60,0),MIN((H77-$D$49-TIME($G$49,($G$49-INT($G$49))*60,0)),(H77-G77)),0))*24),"")</f>
        <v>0</v>
      </c>
      <c r="L77" s="73"/>
      <c r="M77" s="73"/>
      <c r="N77" s="99">
        <f>(H72+(H72*169%))*K77</f>
        <v>0</v>
      </c>
    </row>
    <row r="78" spans="3:14">
      <c r="C78" s="70"/>
      <c r="D78" s="71"/>
      <c r="E78" s="71"/>
      <c r="F78" s="71"/>
      <c r="G78" s="72"/>
      <c r="H78" s="72"/>
      <c r="I78" s="73"/>
      <c r="J78" s="73"/>
      <c r="K78" s="73"/>
      <c r="L78" s="73"/>
      <c r="M78" s="73"/>
      <c r="N78" s="99"/>
    </row>
    <row r="79" spans="3:14"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137">
        <f>SUM(N76:N77)</f>
        <v>0</v>
      </c>
    </row>
    <row r="80" spans="3:14">
      <c r="G80" s="606"/>
      <c r="H80" s="606"/>
    </row>
    <row r="83" spans="3:3">
      <c r="C83" s="91" t="s">
        <v>141</v>
      </c>
    </row>
    <row r="84" spans="3:3">
      <c r="C84" t="s">
        <v>66</v>
      </c>
    </row>
    <row r="85" spans="3:3">
      <c r="C85" s="91"/>
    </row>
  </sheetData>
  <mergeCells count="12">
    <mergeCell ref="G80:H80"/>
    <mergeCell ref="A6:N6"/>
    <mergeCell ref="C7:D7"/>
    <mergeCell ref="M7:O7"/>
    <mergeCell ref="C8:D8"/>
    <mergeCell ref="M8:O8"/>
    <mergeCell ref="G33:H33"/>
    <mergeCell ref="G35:H35"/>
    <mergeCell ref="G37:H37"/>
    <mergeCell ref="G39:H39"/>
    <mergeCell ref="G40:H40"/>
    <mergeCell ref="B42:N42"/>
  </mergeCells>
  <conditionalFormatting sqref="C76:F78 I77">
    <cfRule type="expression" dxfId="50" priority="22">
      <formula>ISNUMBER(SEARCH(TEXT($C76,"ddd"),$G$11))</formula>
    </cfRule>
  </conditionalFormatting>
  <conditionalFormatting sqref="C17:L32">
    <cfRule type="expression" dxfId="49" priority="1">
      <formula>ISNUMBER(SEARCH(TEXT($C17,"ddd"),$G$11))</formula>
    </cfRule>
  </conditionalFormatting>
  <conditionalFormatting sqref="C52:N53">
    <cfRule type="expression" dxfId="48" priority="23">
      <formula>ISNUMBER(SEARCH(TEXT($C52,"ddd"),$G$11))</formula>
    </cfRule>
  </conditionalFormatting>
  <conditionalFormatting sqref="G76:H77">
    <cfRule type="expression" dxfId="47" priority="16">
      <formula>ISNUMBER(SEARCH(TEXT($C76,"ddd"),$G$11))</formula>
    </cfRule>
  </conditionalFormatting>
  <conditionalFormatting sqref="G78:I78">
    <cfRule type="expression" dxfId="46" priority="18">
      <formula>ISNUMBER(SEARCH(TEXT($C78,"ddd"),$G$11))</formula>
    </cfRule>
  </conditionalFormatting>
  <conditionalFormatting sqref="I76:L76">
    <cfRule type="expression" dxfId="45" priority="20">
      <formula>ISNUMBER(SEARCH(TEXT($C76,"ddd"),$G$11))</formula>
    </cfRule>
  </conditionalFormatting>
  <conditionalFormatting sqref="J77:M78">
    <cfRule type="expression" dxfId="44" priority="21">
      <formula>ISNUMBER(SEARCH(TEXT($C77,"ddd"),$G$11))</formula>
    </cfRule>
  </conditionalFormatting>
  <conditionalFormatting sqref="N17:N32">
    <cfRule type="expression" dxfId="43" priority="19">
      <formula>ISNUMBER(SEARCH(TEXT($C17,"ddd"),$G$11))</formula>
    </cfRule>
  </conditionalFormatting>
  <conditionalFormatting sqref="N76:N78">
    <cfRule type="expression" dxfId="42" priority="17">
      <formula>ISNUMBER(SEARCH(TEXT($C76,"ddd"),$G$11))</formula>
    </cfRule>
  </conditionalFormatting>
  <dataValidations count="5">
    <dataValidation type="custom" allowBlank="1" showInputMessage="1" showErrorMessage="1" sqref="H76:H78 H52:H53 H17:H32" xr:uid="{00000000-0002-0000-3000-000000000000}">
      <formula1>AND($H17&lt;=1,ISNUMBER($H17),($H17&gt;=$G17))</formula1>
    </dataValidation>
    <dataValidation type="custom" allowBlank="1" showInputMessage="1" showErrorMessage="1" sqref="G76:G78 G32 G52:G53 E17:G31" xr:uid="{00000000-0002-0000-3000-000001000000}">
      <formula1>AND($G17&lt;=1,ISNUMBER($G17))</formula1>
    </dataValidation>
    <dataValidation type="list" allowBlank="1" showInputMessage="1" showErrorMessage="1" sqref="H69 E11:F11" xr:uid="{00000000-0002-0000-3000-000002000000}">
      <formula1>TRIPOLI!DateCalc</formula1>
    </dataValidation>
    <dataValidation type="list" allowBlank="1" showInputMessage="1" showErrorMessage="1" sqref="D11 H46" xr:uid="{00000000-0002-0000-3000-000003000000}">
      <formula1>DateCalc</formula1>
    </dataValidation>
    <dataValidation type="list" allowBlank="1" showInputMessage="1" showErrorMessage="1" sqref="I69 G11 D69:G69" xr:uid="{00000000-0002-0000-3000-000004000000}"/>
  </dataValidations>
  <pageMargins left="1.07083333333333" right="0.25" top="0.359722222222222" bottom="0.39791666666666697" header="0.29861111111111099" footer="0.29861111111111099"/>
  <pageSetup paperSize="9" scale="91" orientation="landscape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76833" r:id="rId4" name="Check Box 1">
              <controlPr defaultSize="0" print="0" autoPict="0">
                <anchor moveWithCells="1">
                  <from>
                    <xdr:col>7</xdr:col>
                    <xdr:colOff>180975</xdr:colOff>
                    <xdr:row>9</xdr:row>
                    <xdr:rowOff>28575</xdr:rowOff>
                  </from>
                  <to>
                    <xdr:col>8</xdr:col>
                    <xdr:colOff>571500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3000-000005000000}">
          <x14:formula1>
            <xm:f>Data!$B$2:$B$13</xm:f>
          </x14:formula1>
          <xm:sqref>C11 G46</xm:sqref>
        </x14:dataValidation>
        <x14:dataValidation type="list" allowBlank="1" showInputMessage="1" showErrorMessage="1" xr:uid="{00000000-0002-0000-3000-000006000000}">
          <x14:formula1>
            <xm:f>Data!$A$2:$A$12</xm:f>
          </x14:formula1>
          <xm:sqref>B11 D46:F46</xm:sqref>
        </x14:dataValidation>
        <x14:dataValidation type="list" allowBlank="1" showInputMessage="1" showErrorMessage="1" xr:uid="{00000000-0002-0000-3000-000007000000}">
          <x14:formula1>
            <xm:f>Data!$D$2:$D$16</xm:f>
          </x14:formula1>
          <xm:sqref>I46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5:AH72"/>
  <sheetViews>
    <sheetView showGridLines="0" view="pageLayout" topLeftCell="A17" zoomScaleNormal="100" workbookViewId="0">
      <selection activeCell="I30" sqref="I30"/>
    </sheetView>
  </sheetViews>
  <sheetFormatPr defaultColWidth="9" defaultRowHeight="12.75"/>
  <cols>
    <col min="1" max="1" width="1.625" customWidth="1"/>
    <col min="2" max="2" width="5.375" customWidth="1"/>
    <col min="3" max="3" width="7.125" customWidth="1"/>
    <col min="4" max="6" width="7.625" customWidth="1"/>
    <col min="7" max="7" width="10.125" customWidth="1"/>
    <col min="8" max="8" width="9.625" customWidth="1"/>
    <col min="9" max="9" width="8.125" customWidth="1"/>
    <col min="10" max="10" width="10.125" customWidth="1"/>
    <col min="11" max="11" width="7.875" customWidth="1"/>
    <col min="12" max="12" width="11.5" customWidth="1"/>
    <col min="13" max="13" width="10.625" customWidth="1"/>
    <col min="14" max="14" width="10.875" customWidth="1"/>
    <col min="15" max="15" width="16.875" customWidth="1"/>
    <col min="18" max="18" width="11.125" customWidth="1"/>
  </cols>
  <sheetData>
    <row r="5" spans="1:21" ht="25.5" customHeight="1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21" s="47" customFormat="1" ht="25.5" customHeight="1">
      <c r="A6" s="603"/>
      <c r="B6" s="603"/>
      <c r="C6" s="603"/>
      <c r="D6" s="603"/>
      <c r="E6" s="603"/>
      <c r="F6" s="603"/>
      <c r="G6" s="603"/>
      <c r="H6" s="603"/>
      <c r="I6" s="603"/>
      <c r="J6" s="603"/>
      <c r="K6" s="603"/>
      <c r="L6" s="603"/>
      <c r="M6" s="603"/>
      <c r="N6" s="603"/>
    </row>
    <row r="7" spans="1:21" ht="18.75" customHeight="1">
      <c r="C7" s="527" t="s">
        <v>3</v>
      </c>
      <c r="D7" s="527"/>
      <c r="E7" s="49"/>
      <c r="F7" s="49"/>
      <c r="G7" s="50" t="s">
        <v>322</v>
      </c>
      <c r="H7" s="51"/>
      <c r="K7" s="49" t="s">
        <v>174</v>
      </c>
      <c r="M7" s="599" t="str">
        <f>PAALAN!L7</f>
        <v>September  11-25, 2026</v>
      </c>
      <c r="N7" s="599"/>
      <c r="O7" s="599"/>
    </row>
    <row r="8" spans="1:21" ht="18.75" customHeight="1">
      <c r="C8" s="527" t="s">
        <v>175</v>
      </c>
      <c r="D8" s="527"/>
      <c r="E8" s="49"/>
      <c r="F8" s="49"/>
      <c r="G8" s="50" t="s">
        <v>321</v>
      </c>
      <c r="H8" s="51"/>
      <c r="K8" s="49" t="s">
        <v>176</v>
      </c>
      <c r="L8" s="92"/>
      <c r="M8" s="600" t="str">
        <f>PAALAN!L8</f>
        <v>9/31/2026</v>
      </c>
      <c r="N8" s="600"/>
      <c r="O8" s="600"/>
    </row>
    <row r="9" spans="1:21">
      <c r="C9" s="52"/>
      <c r="D9" s="53"/>
      <c r="E9" s="53"/>
      <c r="F9" s="53"/>
      <c r="G9" s="53"/>
    </row>
    <row r="10" spans="1:21">
      <c r="B10" s="54" t="s">
        <v>10</v>
      </c>
      <c r="C10" s="54" t="s">
        <v>11</v>
      </c>
      <c r="D10" s="54" t="s">
        <v>12</v>
      </c>
      <c r="E10" s="54"/>
      <c r="F10" s="54"/>
      <c r="G10" s="55" t="s">
        <v>13</v>
      </c>
    </row>
    <row r="11" spans="1:21">
      <c r="B11" s="56">
        <v>2024</v>
      </c>
      <c r="C11" s="56" t="s">
        <v>214</v>
      </c>
      <c r="D11" s="56">
        <v>11</v>
      </c>
      <c r="E11" s="56"/>
      <c r="F11" s="56"/>
      <c r="G11" s="56" t="s">
        <v>178</v>
      </c>
    </row>
    <row r="12" spans="1:21">
      <c r="B12" s="57"/>
      <c r="C12" s="57"/>
      <c r="H12" s="57"/>
      <c r="K12" s="57"/>
      <c r="L12" s="57"/>
      <c r="M12" s="57"/>
    </row>
    <row r="13" spans="1:21" ht="32.1" customHeight="1">
      <c r="B13" s="159" t="s">
        <v>16</v>
      </c>
      <c r="C13" s="159" t="s">
        <v>17</v>
      </c>
      <c r="D13" s="159" t="s">
        <v>18</v>
      </c>
      <c r="E13" s="160"/>
      <c r="F13" s="160"/>
      <c r="G13" s="160" t="s">
        <v>19</v>
      </c>
      <c r="H13" s="161" t="s">
        <v>179</v>
      </c>
      <c r="L13" s="93"/>
      <c r="M13" s="93"/>
      <c r="N13" s="94"/>
      <c r="O13" s="159" t="s">
        <v>16</v>
      </c>
      <c r="P13" s="159" t="s">
        <v>17</v>
      </c>
      <c r="Q13" s="159" t="s">
        <v>18</v>
      </c>
      <c r="R13" s="160"/>
      <c r="S13" s="160"/>
      <c r="T13" s="160" t="s">
        <v>19</v>
      </c>
      <c r="U13" s="161" t="s">
        <v>179</v>
      </c>
    </row>
    <row r="14" spans="1:21">
      <c r="B14" s="61">
        <v>0.33333333333333298</v>
      </c>
      <c r="C14" s="62">
        <v>10</v>
      </c>
      <c r="D14" s="63">
        <f>(10000/26)/8</f>
        <v>48.07692307692308</v>
      </c>
      <c r="E14" s="142"/>
      <c r="F14" s="142"/>
      <c r="G14" s="64">
        <f>(D14*25%)+D14</f>
        <v>60.096153846153854</v>
      </c>
      <c r="H14" s="65">
        <v>105</v>
      </c>
      <c r="I14" s="95"/>
      <c r="L14" s="57"/>
      <c r="M14" s="57"/>
      <c r="N14" s="95"/>
      <c r="O14" s="61">
        <v>0.375</v>
      </c>
      <c r="P14" s="62">
        <v>3</v>
      </c>
      <c r="Q14" s="63">
        <f>(13040/26)/8</f>
        <v>62.692307692307693</v>
      </c>
      <c r="R14" s="142"/>
      <c r="S14" s="142"/>
      <c r="T14" s="64">
        <f>(Q14*25%)+Q14</f>
        <v>78.365384615384613</v>
      </c>
      <c r="U14" s="65">
        <v>105</v>
      </c>
    </row>
    <row r="15" spans="1:21">
      <c r="N15" s="96"/>
    </row>
    <row r="16" spans="1:21" ht="23.25">
      <c r="B16" s="66"/>
      <c r="C16" s="67" t="s">
        <v>20</v>
      </c>
      <c r="D16" s="67" t="s">
        <v>12</v>
      </c>
      <c r="E16" s="67"/>
      <c r="F16" s="67"/>
      <c r="G16" s="67" t="s">
        <v>21</v>
      </c>
      <c r="H16" s="67" t="s">
        <v>22</v>
      </c>
      <c r="I16" s="68" t="s">
        <v>23</v>
      </c>
      <c r="J16" s="68" t="s">
        <v>24</v>
      </c>
      <c r="K16" s="68" t="s">
        <v>25</v>
      </c>
      <c r="L16" s="67" t="s">
        <v>180</v>
      </c>
      <c r="M16" s="134" t="s">
        <v>181</v>
      </c>
      <c r="N16" s="67" t="s">
        <v>26</v>
      </c>
    </row>
    <row r="17" spans="2:34">
      <c r="B17" s="69">
        <v>1</v>
      </c>
      <c r="C17" s="70">
        <v>45484</v>
      </c>
      <c r="D17" s="71">
        <v>45484</v>
      </c>
      <c r="E17" s="72">
        <v>0.34027777777777773</v>
      </c>
      <c r="F17" s="72">
        <v>6.9444444444444441E-3</v>
      </c>
      <c r="G17" s="72">
        <f t="shared" ref="G17:G31" si="0">E17-F17</f>
        <v>0.33333333333333331</v>
      </c>
      <c r="H17" s="72">
        <v>0.75</v>
      </c>
      <c r="I17" s="73">
        <v>1</v>
      </c>
      <c r="J17" s="73">
        <f t="shared" ref="J17:J31" si="1">IFERROR(IF(AND(G17&lt;&gt;"",H17&lt;&gt;""),IF(G17&gt;$B$14+TIME($C$14,($C$14-INT($C$14))*60,0),0,IF(H17&gt;$B$14+TIME($C$14,($C$14-INT($C$14))*60,0),MIN(TIME($C$14,($C$14-INT($C$14))*60,0),($B$14+TIME($C$14,($C$14-INT($C$14))*60,0)-G17)),MIN(IF((H17-$B$14)&lt;0,0,(H17-$B$14)),(H17-G17))))*24,"")-I17,"")</f>
        <v>9</v>
      </c>
      <c r="K17" s="73">
        <f t="shared" ref="K17:K31" si="2">IF(AND(G17&lt;&gt;"",H17&lt;&gt;""),((IF(G17&lt;$B$14,MIN($B$14-G17,H17-G17),0)+IF(H17&gt;$B$14+TIME($C$14,($C$14-INT($C$14))*60,0),MIN((H17-$B$14-TIME($C$14,($C$14-INT($C$14))*60,0)),(H17-G17)),0))*24),"")</f>
        <v>0</v>
      </c>
      <c r="L17" s="101">
        <f>G17-B14</f>
        <v>0</v>
      </c>
      <c r="M17" s="102">
        <f>(D14/60)*0</f>
        <v>0</v>
      </c>
      <c r="N17" s="111">
        <v>432.69230769230774</v>
      </c>
      <c r="O17" s="141">
        <f t="shared" ref="O17:O31" si="3">M17+N17</f>
        <v>432.69230769230774</v>
      </c>
      <c r="P17" s="100"/>
      <c r="Q17" s="89"/>
    </row>
    <row r="18" spans="2:34">
      <c r="B18" s="69">
        <v>2</v>
      </c>
      <c r="C18" s="70">
        <f t="shared" ref="C18:D31" si="4">C17+1</f>
        <v>45485</v>
      </c>
      <c r="D18" s="71">
        <f t="shared" si="4"/>
        <v>45485</v>
      </c>
      <c r="E18" s="72">
        <v>0.34027777777777773</v>
      </c>
      <c r="F18" s="72">
        <v>6.9444444444444441E-3</v>
      </c>
      <c r="G18" s="72">
        <f t="shared" si="0"/>
        <v>0.33333333333333331</v>
      </c>
      <c r="H18" s="72">
        <v>0.75</v>
      </c>
      <c r="I18" s="73">
        <v>1</v>
      </c>
      <c r="J18" s="73">
        <f t="shared" si="1"/>
        <v>9</v>
      </c>
      <c r="K18" s="73">
        <f t="shared" si="2"/>
        <v>0</v>
      </c>
      <c r="L18" s="101">
        <f>G18-B14</f>
        <v>0</v>
      </c>
      <c r="M18" s="102">
        <f>(D14/60)*0</f>
        <v>0</v>
      </c>
      <c r="N18" s="99">
        <v>432.69230769230774</v>
      </c>
      <c r="O18" s="141"/>
      <c r="P18" s="89"/>
      <c r="Q18" s="89"/>
    </row>
    <row r="19" spans="2:34">
      <c r="B19" s="69">
        <v>3</v>
      </c>
      <c r="C19" s="70">
        <f t="shared" si="4"/>
        <v>45486</v>
      </c>
      <c r="D19" s="71">
        <f t="shared" si="4"/>
        <v>45486</v>
      </c>
      <c r="E19" s="72">
        <v>0.38194444444444442</v>
      </c>
      <c r="F19" s="72">
        <v>6.9444444444444441E-3</v>
      </c>
      <c r="G19" s="72">
        <f t="shared" si="0"/>
        <v>0.375</v>
      </c>
      <c r="H19" s="72">
        <v>0.5</v>
      </c>
      <c r="I19" s="73">
        <v>0</v>
      </c>
      <c r="J19" s="73">
        <f t="shared" si="1"/>
        <v>3</v>
      </c>
      <c r="K19" s="73">
        <f t="shared" si="2"/>
        <v>0</v>
      </c>
      <c r="L19" s="101">
        <v>0</v>
      </c>
      <c r="M19" s="102">
        <f>(D14/60)*0</f>
        <v>0</v>
      </c>
      <c r="N19" s="99">
        <v>144.23076923076923</v>
      </c>
      <c r="O19" s="141">
        <f t="shared" si="3"/>
        <v>144.23076923076923</v>
      </c>
      <c r="P19" s="100"/>
      <c r="Q19" s="104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</row>
    <row r="20" spans="2:34">
      <c r="B20" s="69"/>
      <c r="C20" s="70">
        <f t="shared" si="4"/>
        <v>45487</v>
      </c>
      <c r="D20" s="71">
        <f t="shared" si="4"/>
        <v>45487</v>
      </c>
      <c r="E20" s="72">
        <v>0</v>
      </c>
      <c r="F20" s="72">
        <v>0</v>
      </c>
      <c r="G20" s="72">
        <f t="shared" si="0"/>
        <v>0</v>
      </c>
      <c r="H20" s="72">
        <v>0</v>
      </c>
      <c r="I20" s="73">
        <v>0</v>
      </c>
      <c r="J20" s="73">
        <f t="shared" si="1"/>
        <v>0</v>
      </c>
      <c r="K20" s="73">
        <f t="shared" si="2"/>
        <v>0</v>
      </c>
      <c r="L20" s="97">
        <v>0</v>
      </c>
      <c r="M20" s="98">
        <f>(D14/60)*0</f>
        <v>0</v>
      </c>
      <c r="N20" s="251">
        <v>0</v>
      </c>
      <c r="O20" s="141">
        <f t="shared" si="3"/>
        <v>0</v>
      </c>
      <c r="P20" s="103"/>
      <c r="Q20" s="103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28"/>
    </row>
    <row r="21" spans="2:34">
      <c r="B21" s="69">
        <v>4</v>
      </c>
      <c r="C21" s="70">
        <f t="shared" si="4"/>
        <v>45488</v>
      </c>
      <c r="D21" s="71">
        <f t="shared" si="4"/>
        <v>45488</v>
      </c>
      <c r="E21" s="72">
        <v>0.34027777777777773</v>
      </c>
      <c r="F21" s="72">
        <v>6.9444444444444441E-3</v>
      </c>
      <c r="G21" s="72">
        <f t="shared" si="0"/>
        <v>0.33333333333333331</v>
      </c>
      <c r="H21" s="72">
        <v>0.75</v>
      </c>
      <c r="I21" s="73">
        <v>1</v>
      </c>
      <c r="J21" s="73">
        <f t="shared" si="1"/>
        <v>9</v>
      </c>
      <c r="K21" s="73">
        <f t="shared" si="2"/>
        <v>0</v>
      </c>
      <c r="L21" s="101">
        <f>G21-B14</f>
        <v>0</v>
      </c>
      <c r="M21" s="102">
        <f>(D14/60)*0</f>
        <v>0</v>
      </c>
      <c r="N21" s="111">
        <v>432.69230769230774</v>
      </c>
      <c r="O21" s="141">
        <f t="shared" si="3"/>
        <v>432.69230769230774</v>
      </c>
      <c r="P21" s="162">
        <f>N21-O21</f>
        <v>0</v>
      </c>
      <c r="Q21" s="108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4"/>
    </row>
    <row r="22" spans="2:34">
      <c r="B22" s="69">
        <v>5</v>
      </c>
      <c r="C22" s="70">
        <f t="shared" si="4"/>
        <v>45489</v>
      </c>
      <c r="D22" s="71">
        <f t="shared" si="4"/>
        <v>45489</v>
      </c>
      <c r="E22" s="72">
        <v>0.34027777777777773</v>
      </c>
      <c r="F22" s="72">
        <v>6.9444444444444441E-3</v>
      </c>
      <c r="G22" s="72">
        <f t="shared" si="0"/>
        <v>0.33333333333333331</v>
      </c>
      <c r="H22" s="72">
        <v>0.75</v>
      </c>
      <c r="I22" s="73">
        <v>1</v>
      </c>
      <c r="J22" s="73">
        <f t="shared" si="1"/>
        <v>9</v>
      </c>
      <c r="K22" s="73">
        <f t="shared" si="2"/>
        <v>0</v>
      </c>
      <c r="L22" s="101">
        <f>G22-B14</f>
        <v>0</v>
      </c>
      <c r="M22" s="102">
        <f>(D14/60)*0</f>
        <v>0</v>
      </c>
      <c r="N22" s="111">
        <v>432.69230769230774</v>
      </c>
      <c r="O22" s="141">
        <f t="shared" si="3"/>
        <v>432.69230769230774</v>
      </c>
      <c r="P22" s="163"/>
      <c r="Q22" s="135"/>
      <c r="R22" s="96">
        <v>0.40486111111111101</v>
      </c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4"/>
    </row>
    <row r="23" spans="2:34">
      <c r="B23" s="69">
        <v>6</v>
      </c>
      <c r="C23" s="70">
        <f t="shared" si="4"/>
        <v>45490</v>
      </c>
      <c r="D23" s="71">
        <f t="shared" si="4"/>
        <v>45490</v>
      </c>
      <c r="E23" s="72">
        <v>0.34027777777777773</v>
      </c>
      <c r="F23" s="72">
        <v>6.9444444444444441E-3</v>
      </c>
      <c r="G23" s="72">
        <f t="shared" si="0"/>
        <v>0.33333333333333331</v>
      </c>
      <c r="H23" s="72">
        <v>0.75</v>
      </c>
      <c r="I23" s="73">
        <v>1</v>
      </c>
      <c r="J23" s="73">
        <f t="shared" si="1"/>
        <v>9</v>
      </c>
      <c r="K23" s="73">
        <f t="shared" si="2"/>
        <v>0</v>
      </c>
      <c r="L23" s="101">
        <f>G23-B14</f>
        <v>0</v>
      </c>
      <c r="M23" s="102">
        <f>(D14/60)*0</f>
        <v>0</v>
      </c>
      <c r="N23" s="111">
        <v>432.69230769230774</v>
      </c>
      <c r="O23" s="141">
        <f t="shared" si="3"/>
        <v>432.69230769230774</v>
      </c>
      <c r="P23" s="150"/>
      <c r="Q23" s="89"/>
      <c r="R23" s="96">
        <v>1.0416666666666701E-2</v>
      </c>
    </row>
    <row r="24" spans="2:34">
      <c r="B24" s="69">
        <v>7</v>
      </c>
      <c r="C24" s="70">
        <f t="shared" si="4"/>
        <v>45491</v>
      </c>
      <c r="D24" s="71">
        <f t="shared" si="4"/>
        <v>45491</v>
      </c>
      <c r="E24" s="72">
        <v>0.34027777777777773</v>
      </c>
      <c r="F24" s="72">
        <v>6.9444444444444441E-3</v>
      </c>
      <c r="G24" s="72">
        <f t="shared" si="0"/>
        <v>0.33333333333333331</v>
      </c>
      <c r="H24" s="72">
        <v>0.75</v>
      </c>
      <c r="I24" s="73">
        <v>1</v>
      </c>
      <c r="J24" s="73">
        <f t="shared" si="1"/>
        <v>9</v>
      </c>
      <c r="K24" s="73">
        <f t="shared" si="2"/>
        <v>0</v>
      </c>
      <c r="L24" s="101">
        <f>G24-B14</f>
        <v>0</v>
      </c>
      <c r="M24" s="102">
        <f>(D14/60)*0</f>
        <v>0</v>
      </c>
      <c r="N24" s="111">
        <v>432.69230769230774</v>
      </c>
      <c r="O24" s="141">
        <f t="shared" si="3"/>
        <v>432.69230769230774</v>
      </c>
      <c r="P24" s="155"/>
      <c r="Q24" s="89"/>
      <c r="R24" s="129">
        <f>R22-R23</f>
        <v>0.39444444444444432</v>
      </c>
    </row>
    <row r="25" spans="2:34">
      <c r="B25" s="69">
        <v>8</v>
      </c>
      <c r="C25" s="70">
        <f t="shared" si="4"/>
        <v>45492</v>
      </c>
      <c r="D25" s="71">
        <f t="shared" si="4"/>
        <v>45492</v>
      </c>
      <c r="E25" s="72">
        <v>0.34027777777777773</v>
      </c>
      <c r="F25" s="72">
        <v>6.9444444444444441E-3</v>
      </c>
      <c r="G25" s="72">
        <f t="shared" si="0"/>
        <v>0.33333333333333331</v>
      </c>
      <c r="H25" s="72">
        <v>0.75</v>
      </c>
      <c r="I25" s="73">
        <v>1</v>
      </c>
      <c r="J25" s="73">
        <f t="shared" si="1"/>
        <v>9</v>
      </c>
      <c r="K25" s="73">
        <f t="shared" si="2"/>
        <v>0</v>
      </c>
      <c r="L25" s="101">
        <f>G25-B14</f>
        <v>0</v>
      </c>
      <c r="M25" s="102">
        <f>(D14/60)*0</f>
        <v>0</v>
      </c>
      <c r="N25" s="111">
        <v>432.69230769230774</v>
      </c>
      <c r="O25" s="141">
        <f t="shared" si="3"/>
        <v>432.69230769230774</v>
      </c>
      <c r="P25" s="89"/>
      <c r="Q25" s="89"/>
    </row>
    <row r="26" spans="2:34">
      <c r="B26" s="69">
        <v>9</v>
      </c>
      <c r="C26" s="70">
        <f t="shared" si="4"/>
        <v>45493</v>
      </c>
      <c r="D26" s="71">
        <f t="shared" si="4"/>
        <v>45493</v>
      </c>
      <c r="E26" s="72">
        <v>0.38194444444444442</v>
      </c>
      <c r="F26" s="72">
        <v>6.9444444444444441E-3</v>
      </c>
      <c r="G26" s="72">
        <f t="shared" si="0"/>
        <v>0.375</v>
      </c>
      <c r="H26" s="72">
        <v>0.5</v>
      </c>
      <c r="I26" s="73">
        <v>0</v>
      </c>
      <c r="J26" s="73">
        <f t="shared" ref="J26:J29" si="5">IFERROR(IF(AND(G26&lt;&gt;"",H26&lt;&gt;""),IF(G26&gt;$B$14+TIME($C$14,($C$14-INT($C$14))*60,0),0,IF(H26&gt;$B$14+TIME($C$14,($C$14-INT($C$14))*60,0),MIN(TIME($C$14,($C$14-INT($C$14))*60,0),($B$14+TIME($C$14,($C$14-INT($C$14))*60,0)-G26)),MIN(IF((H26-$B$14)&lt;0,0,(H26-$B$14)),(H26-G26))))*24,"")-I26,"")</f>
        <v>3</v>
      </c>
      <c r="K26" s="73">
        <f t="shared" ref="K26:K29" si="6">IF(AND(G26&lt;&gt;"",H26&lt;&gt;""),((IF(G26&lt;$B$14,MIN($B$14-G26,H26-G26),0)+IF(H26&gt;$B$14+TIME($C$14,($C$14-INT($C$14))*60,0),MIN((H26-$B$14-TIME($C$14,($C$14-INT($C$14))*60,0)),(H26-G26)),0))*24),"")</f>
        <v>0</v>
      </c>
      <c r="L26" s="101">
        <v>0</v>
      </c>
      <c r="M26" s="102">
        <v>0</v>
      </c>
      <c r="N26" s="111">
        <v>144.23076923076923</v>
      </c>
      <c r="O26" s="141">
        <f t="shared" si="3"/>
        <v>144.23076923076923</v>
      </c>
      <c r="P26" s="89"/>
      <c r="Q26" s="89"/>
    </row>
    <row r="27" spans="2:34">
      <c r="B27" s="69"/>
      <c r="C27" s="70">
        <f t="shared" si="4"/>
        <v>45494</v>
      </c>
      <c r="D27" s="71">
        <f t="shared" si="4"/>
        <v>45494</v>
      </c>
      <c r="E27" s="72">
        <v>0</v>
      </c>
      <c r="F27" s="72">
        <v>0</v>
      </c>
      <c r="G27" s="72">
        <f t="shared" si="0"/>
        <v>0</v>
      </c>
      <c r="H27" s="72">
        <v>0</v>
      </c>
      <c r="I27" s="73">
        <v>0</v>
      </c>
      <c r="J27" s="73">
        <f t="shared" si="5"/>
        <v>0</v>
      </c>
      <c r="K27" s="73">
        <f t="shared" si="6"/>
        <v>0</v>
      </c>
      <c r="L27" s="97">
        <v>0</v>
      </c>
      <c r="M27" s="98">
        <f>(D14/60)*0</f>
        <v>0</v>
      </c>
      <c r="N27" s="251">
        <v>0</v>
      </c>
      <c r="O27" s="141">
        <f t="shared" si="3"/>
        <v>0</v>
      </c>
      <c r="P27" s="127">
        <f>O27-N27</f>
        <v>0</v>
      </c>
      <c r="Q27" s="89"/>
    </row>
    <row r="28" spans="2:34">
      <c r="B28" s="69">
        <v>10</v>
      </c>
      <c r="C28" s="70">
        <f t="shared" si="4"/>
        <v>45495</v>
      </c>
      <c r="D28" s="71">
        <f t="shared" si="4"/>
        <v>45495</v>
      </c>
      <c r="E28" s="72">
        <v>0.34027777777777773</v>
      </c>
      <c r="F28" s="72">
        <v>6.9444444444444441E-3</v>
      </c>
      <c r="G28" s="72">
        <f t="shared" si="0"/>
        <v>0.33333333333333331</v>
      </c>
      <c r="H28" s="72">
        <v>0.75</v>
      </c>
      <c r="I28" s="73">
        <v>1</v>
      </c>
      <c r="J28" s="73">
        <f t="shared" si="5"/>
        <v>9</v>
      </c>
      <c r="K28" s="73">
        <f t="shared" si="6"/>
        <v>0</v>
      </c>
      <c r="L28" s="101">
        <f>G28-B14</f>
        <v>0</v>
      </c>
      <c r="M28" s="102">
        <f>(D14/60)*0</f>
        <v>0</v>
      </c>
      <c r="N28" s="111">
        <v>432.69230769230774</v>
      </c>
      <c r="O28" s="141">
        <f t="shared" si="3"/>
        <v>432.69230769230774</v>
      </c>
      <c r="Q28" s="89"/>
    </row>
    <row r="29" spans="2:34">
      <c r="B29" s="69">
        <v>11</v>
      </c>
      <c r="C29" s="70">
        <f t="shared" si="4"/>
        <v>45496</v>
      </c>
      <c r="D29" s="71">
        <f t="shared" si="4"/>
        <v>45496</v>
      </c>
      <c r="E29" s="72">
        <v>0.34027777777777773</v>
      </c>
      <c r="F29" s="72">
        <v>6.9444444444444441E-3</v>
      </c>
      <c r="G29" s="72">
        <f t="shared" si="0"/>
        <v>0.33333333333333331</v>
      </c>
      <c r="H29" s="72">
        <v>0.75</v>
      </c>
      <c r="I29" s="73">
        <v>1</v>
      </c>
      <c r="J29" s="73">
        <f t="shared" si="5"/>
        <v>9</v>
      </c>
      <c r="K29" s="73">
        <f t="shared" si="6"/>
        <v>0</v>
      </c>
      <c r="L29" s="101">
        <f>G29-B14</f>
        <v>0</v>
      </c>
      <c r="M29" s="102">
        <f>(D14/60)*0</f>
        <v>0</v>
      </c>
      <c r="N29" s="111">
        <v>432.69230769230774</v>
      </c>
      <c r="O29" s="141">
        <f t="shared" si="3"/>
        <v>432.69230769230774</v>
      </c>
      <c r="Q29" s="89"/>
    </row>
    <row r="30" spans="2:34">
      <c r="B30" s="69">
        <v>12</v>
      </c>
      <c r="C30" s="70">
        <f t="shared" si="4"/>
        <v>45497</v>
      </c>
      <c r="D30" s="71">
        <f t="shared" si="4"/>
        <v>45497</v>
      </c>
      <c r="E30" s="72">
        <v>0.34027777777777773</v>
      </c>
      <c r="F30" s="72">
        <v>6.9444444444444441E-3</v>
      </c>
      <c r="G30" s="72">
        <f t="shared" si="0"/>
        <v>0.33333333333333331</v>
      </c>
      <c r="H30" s="72">
        <v>0.75</v>
      </c>
      <c r="I30" s="73">
        <v>1</v>
      </c>
      <c r="J30" s="73">
        <f t="shared" si="1"/>
        <v>9</v>
      </c>
      <c r="K30" s="73">
        <f t="shared" si="2"/>
        <v>0</v>
      </c>
      <c r="L30" s="101">
        <f>G30-B14</f>
        <v>0</v>
      </c>
      <c r="M30" s="102">
        <f>(D14/60)*0</f>
        <v>0</v>
      </c>
      <c r="N30" s="111">
        <v>432.69230769230774</v>
      </c>
      <c r="O30" s="141">
        <f t="shared" si="3"/>
        <v>432.69230769230774</v>
      </c>
      <c r="P30" s="127"/>
      <c r="Q30" s="89"/>
    </row>
    <row r="31" spans="2:34">
      <c r="B31" s="69">
        <v>13</v>
      </c>
      <c r="C31" s="70">
        <f t="shared" si="4"/>
        <v>45498</v>
      </c>
      <c r="D31" s="71">
        <f t="shared" si="4"/>
        <v>45498</v>
      </c>
      <c r="E31" s="72">
        <v>0.34027777777777773</v>
      </c>
      <c r="F31" s="72">
        <v>6.9444444444444441E-3</v>
      </c>
      <c r="G31" s="72">
        <f t="shared" si="0"/>
        <v>0.33333333333333331</v>
      </c>
      <c r="H31" s="72">
        <v>0.75</v>
      </c>
      <c r="I31" s="73">
        <v>1</v>
      </c>
      <c r="J31" s="73">
        <f t="shared" si="1"/>
        <v>9</v>
      </c>
      <c r="K31" s="73">
        <f t="shared" si="2"/>
        <v>0</v>
      </c>
      <c r="L31" s="101">
        <f>G31-B14</f>
        <v>0</v>
      </c>
      <c r="M31" s="102">
        <f>(D14/60)*0</f>
        <v>0</v>
      </c>
      <c r="N31" s="111">
        <v>432.69230769230774</v>
      </c>
      <c r="O31" s="141">
        <f t="shared" si="3"/>
        <v>432.69230769230774</v>
      </c>
    </row>
    <row r="32" spans="2:34">
      <c r="B32" s="66"/>
      <c r="C32" s="76"/>
      <c r="D32" s="77"/>
      <c r="E32" s="144"/>
      <c r="F32" s="144"/>
      <c r="G32" s="597" t="s">
        <v>182</v>
      </c>
      <c r="H32" s="598"/>
      <c r="I32" s="80">
        <f>SUM(I17:I31)</f>
        <v>11</v>
      </c>
      <c r="J32" s="80">
        <f>SUM(J17:J31)</f>
        <v>105</v>
      </c>
      <c r="K32" s="80">
        <f>SUM(K17:K31)</f>
        <v>0</v>
      </c>
      <c r="L32" s="113">
        <f>SUM(L17:L31)</f>
        <v>0</v>
      </c>
      <c r="M32" s="114">
        <f>SUM(M17:M31)</f>
        <v>0</v>
      </c>
      <c r="N32" s="66"/>
      <c r="O32" s="165">
        <f>SUM(N17:N31)</f>
        <v>5048.0769230769229</v>
      </c>
    </row>
    <row r="33" spans="2:17">
      <c r="B33" s="66"/>
      <c r="C33" s="76"/>
      <c r="D33" s="77"/>
      <c r="E33" s="144"/>
      <c r="F33" s="144"/>
      <c r="G33" s="81" t="s">
        <v>39</v>
      </c>
      <c r="H33" s="82"/>
      <c r="I33" s="83"/>
      <c r="J33" s="84"/>
      <c r="K33" s="116"/>
      <c r="L33" s="117">
        <f>(D14/60)*540</f>
        <v>432.69230769230774</v>
      </c>
      <c r="M33" s="118"/>
      <c r="N33" s="166">
        <f>D14*H14</f>
        <v>5048.0769230769238</v>
      </c>
      <c r="O33" s="95">
        <f>SUM(N17:N31)</f>
        <v>5048.0769230769229</v>
      </c>
      <c r="P33" s="95"/>
      <c r="Q33" s="95"/>
    </row>
    <row r="34" spans="2:17">
      <c r="B34" s="65"/>
      <c r="C34" s="65"/>
      <c r="D34" s="85"/>
      <c r="E34" s="85"/>
      <c r="F34" s="85"/>
      <c r="G34" s="592" t="s">
        <v>183</v>
      </c>
      <c r="H34" s="592"/>
      <c r="I34" s="80"/>
      <c r="J34" s="80">
        <f>H14-J32</f>
        <v>0</v>
      </c>
      <c r="K34" s="65"/>
      <c r="L34" s="120"/>
      <c r="M34" s="65"/>
      <c r="N34" s="121">
        <f>M32</f>
        <v>0</v>
      </c>
      <c r="O34" s="151">
        <f>O32-O33</f>
        <v>0</v>
      </c>
      <c r="P34" s="95"/>
      <c r="Q34" s="95"/>
    </row>
    <row r="35" spans="2:17">
      <c r="B35" s="65"/>
      <c r="C35" s="65"/>
      <c r="D35" s="85"/>
      <c r="E35" s="145"/>
      <c r="F35" s="145"/>
      <c r="G35" s="78" t="s">
        <v>41</v>
      </c>
      <c r="H35" s="79"/>
      <c r="I35" s="66"/>
      <c r="J35" s="66"/>
      <c r="K35" s="80"/>
      <c r="L35" s="80"/>
      <c r="M35" s="80"/>
      <c r="N35" s="121">
        <f>N33-N34</f>
        <v>5048.0769230769238</v>
      </c>
      <c r="O35" s="95"/>
      <c r="P35" s="95"/>
      <c r="Q35" s="95"/>
    </row>
    <row r="36" spans="2:17">
      <c r="B36" s="65"/>
      <c r="C36" s="65"/>
      <c r="D36" s="85"/>
      <c r="E36" s="146"/>
      <c r="F36" s="146"/>
      <c r="G36" s="604" t="s">
        <v>184</v>
      </c>
      <c r="H36" s="605"/>
      <c r="I36" s="80"/>
      <c r="J36" s="66"/>
      <c r="K36" s="122"/>
      <c r="L36" s="122"/>
      <c r="M36" s="122"/>
      <c r="N36" s="123">
        <f>(G14*K32)</f>
        <v>0</v>
      </c>
      <c r="O36" s="95"/>
    </row>
    <row r="37" spans="2:17">
      <c r="B37" s="65"/>
      <c r="C37" s="65"/>
      <c r="D37" s="85"/>
      <c r="E37" s="146"/>
      <c r="F37" s="146"/>
      <c r="G37" s="86" t="s">
        <v>185</v>
      </c>
      <c r="H37" s="87"/>
      <c r="I37" s="80"/>
      <c r="J37" s="66"/>
      <c r="K37" s="122"/>
      <c r="L37" s="122"/>
      <c r="M37" s="122"/>
      <c r="N37" s="123">
        <v>0</v>
      </c>
      <c r="O37" s="95"/>
    </row>
    <row r="38" spans="2:17">
      <c r="B38" s="65"/>
      <c r="C38" s="65"/>
      <c r="D38" s="85"/>
      <c r="E38" s="145"/>
      <c r="F38" s="145"/>
      <c r="G38" s="597" t="s">
        <v>186</v>
      </c>
      <c r="H38" s="598"/>
      <c r="I38" s="66"/>
      <c r="J38" s="66"/>
      <c r="K38" s="66"/>
      <c r="L38" s="66"/>
      <c r="M38" s="66"/>
      <c r="N38" s="124">
        <f>N35+N36+N37</f>
        <v>5048.0769230769238</v>
      </c>
      <c r="O38" s="95"/>
    </row>
    <row r="39" spans="2:17">
      <c r="D39" s="88"/>
      <c r="E39" s="88"/>
      <c r="F39" s="88"/>
      <c r="G39" s="589"/>
      <c r="H39" s="589"/>
      <c r="I39" s="90"/>
      <c r="J39" s="90"/>
      <c r="K39" s="125"/>
      <c r="L39" s="125"/>
      <c r="M39" s="125"/>
      <c r="N39" s="126"/>
      <c r="O39" s="127"/>
    </row>
    <row r="40" spans="2:17">
      <c r="D40" s="91"/>
      <c r="E40" s="91"/>
      <c r="F40" s="91"/>
    </row>
    <row r="41" spans="2:17">
      <c r="B41" s="590" t="s">
        <v>187</v>
      </c>
      <c r="C41" s="590"/>
      <c r="D41" s="590"/>
      <c r="E41" s="590"/>
      <c r="F41" s="590"/>
      <c r="G41" s="590"/>
      <c r="H41" s="590"/>
      <c r="I41" s="590"/>
      <c r="J41" s="590"/>
      <c r="K41" s="590"/>
      <c r="L41" s="590"/>
      <c r="M41" s="590"/>
      <c r="N41" s="590"/>
    </row>
    <row r="42" spans="2:17">
      <c r="D42" s="91"/>
      <c r="E42" s="91"/>
      <c r="F42" s="91"/>
    </row>
    <row r="43" spans="2:17">
      <c r="D43" s="91" t="s">
        <v>188</v>
      </c>
      <c r="E43" s="91"/>
      <c r="F43" s="91"/>
      <c r="N43" s="95"/>
    </row>
    <row r="44" spans="2:17">
      <c r="D44" s="54" t="s">
        <v>10</v>
      </c>
      <c r="E44" s="54"/>
      <c r="F44" s="54"/>
      <c r="G44" s="54" t="s">
        <v>11</v>
      </c>
      <c r="H44" s="54" t="s">
        <v>12</v>
      </c>
      <c r="I44" s="55" t="s">
        <v>13</v>
      </c>
    </row>
    <row r="45" spans="2:17">
      <c r="D45" s="56">
        <v>2024</v>
      </c>
      <c r="E45" s="56"/>
      <c r="F45" s="56"/>
      <c r="G45" s="56" t="s">
        <v>204</v>
      </c>
      <c r="H45" s="56">
        <v>12</v>
      </c>
      <c r="I45" s="56" t="s">
        <v>178</v>
      </c>
    </row>
    <row r="46" spans="2:17">
      <c r="D46" s="57"/>
      <c r="E46" s="57"/>
      <c r="F46" s="57"/>
      <c r="G46" s="57"/>
    </row>
    <row r="47" spans="2:17" ht="33.75">
      <c r="D47" s="159" t="s">
        <v>16</v>
      </c>
      <c r="E47" s="159"/>
      <c r="F47" s="159"/>
      <c r="G47" s="159" t="s">
        <v>17</v>
      </c>
      <c r="H47" s="159" t="s">
        <v>18</v>
      </c>
      <c r="I47" s="159" t="s">
        <v>19</v>
      </c>
    </row>
    <row r="48" spans="2:17">
      <c r="D48" s="61">
        <v>0.33333333333333298</v>
      </c>
      <c r="E48" s="61"/>
      <c r="F48" s="61"/>
      <c r="G48" s="62">
        <v>10</v>
      </c>
      <c r="H48" s="63">
        <f>D14</f>
        <v>48.07692307692308</v>
      </c>
      <c r="I48" s="130">
        <f>(H48*30%)+H48</f>
        <v>62.5</v>
      </c>
    </row>
    <row r="50" spans="3:14">
      <c r="C50" s="131" t="s">
        <v>20</v>
      </c>
      <c r="D50" s="131" t="s">
        <v>12</v>
      </c>
      <c r="E50" s="131"/>
      <c r="F50" s="131"/>
      <c r="G50" s="131" t="s">
        <v>21</v>
      </c>
      <c r="H50" s="131" t="s">
        <v>22</v>
      </c>
      <c r="I50" s="131" t="s">
        <v>23</v>
      </c>
      <c r="J50" s="131" t="s">
        <v>24</v>
      </c>
      <c r="K50" s="131" t="s">
        <v>25</v>
      </c>
      <c r="L50" s="131"/>
      <c r="M50" s="131"/>
      <c r="N50" s="131" t="s">
        <v>26</v>
      </c>
    </row>
    <row r="51" spans="3:14">
      <c r="C51" s="70" t="s">
        <v>324</v>
      </c>
      <c r="D51" s="71">
        <v>12</v>
      </c>
      <c r="E51" s="71"/>
      <c r="F51" s="71"/>
      <c r="G51" s="72"/>
      <c r="H51" s="72"/>
      <c r="I51" s="73"/>
      <c r="J51" s="73" t="str">
        <f>IFERROR(IF(AND(G51&lt;&gt;"",H51&lt;&gt;""),IF(G51&gt;$B$14+TIME($C$14,($C$14-INT($C$14))*60,0),0,IF(H51&gt;$B$14+TIME($C$14,($C$14-INT($C$14))*60,0),MIN(TIME($C$14,($C$14-INT($C$14))*60,0),($B$14+TIME($C$14,($C$14-INT($C$14))*60,0)-G51)),MIN(IF((H51-$B$14)&lt;0,0,(H51-$B$14)),(H51-G51))))*24,"")-I51,"")</f>
        <v/>
      </c>
      <c r="K51" s="73" t="str">
        <f>IF(AND(G51&lt;&gt;"",H51&lt;&gt;""),((IF(G51&lt;$D$48,MIN($D$48-G51,H51-G51),0)+IF(H51&gt;$D$48+TIME($G$48,($G$48-INT($G$48))*60,0),MIN((H51-$D$48-TIME($G$48,($G$48-INT($G$48))*60,0)),(H51-G51)),0))*24),"")</f>
        <v/>
      </c>
      <c r="L51" s="73"/>
      <c r="M51" s="73"/>
      <c r="N51" s="99" t="e">
        <f>J51*H48</f>
        <v>#VALUE!</v>
      </c>
    </row>
    <row r="52" spans="3:14">
      <c r="C52" s="70" t="s">
        <v>210</v>
      </c>
      <c r="D52" s="71">
        <v>17</v>
      </c>
      <c r="E52" s="71"/>
      <c r="F52" s="71"/>
      <c r="G52" s="72"/>
      <c r="H52" s="72"/>
      <c r="I52" s="73"/>
      <c r="J52" s="73" t="str">
        <f>IFERROR(IF(AND(G52&lt;&gt;"",H52&lt;&gt;""),IF(G52&gt;$B$14+TIME($C$14,($C$14-INT($C$14))*60,0),0,IF(H52&gt;$B$14+TIME($C$14,($C$14-INT($C$14))*60,0),MIN(TIME($C$14,($C$14-INT($C$14))*60,0),($B$14+TIME($C$14,($C$14-INT($C$14))*60,0)-G52)),MIN(IF((H52-$B$14)&lt;0,0,(H52-$B$14)),(H52-G52))))*24,"")-I52,"")</f>
        <v/>
      </c>
      <c r="K52" s="73"/>
      <c r="L52" s="73"/>
      <c r="M52" s="73"/>
      <c r="N52" s="99" t="e">
        <f>J52*H48</f>
        <v>#VALUE!</v>
      </c>
    </row>
    <row r="53" spans="3:14">
      <c r="C53" s="66"/>
      <c r="D53" s="319"/>
      <c r="E53" s="66"/>
      <c r="F53" s="66"/>
      <c r="G53" s="66"/>
      <c r="H53" s="66"/>
      <c r="I53" s="66"/>
      <c r="J53" s="66"/>
      <c r="K53" s="66"/>
      <c r="L53" s="66"/>
      <c r="M53" s="66"/>
      <c r="N53" s="318" t="e">
        <f>SUM(N51:N52)</f>
        <v>#VALUE!</v>
      </c>
    </row>
    <row r="54" spans="3:14">
      <c r="N54" s="138"/>
    </row>
    <row r="55" spans="3:14">
      <c r="C55" s="132" t="s">
        <v>190</v>
      </c>
      <c r="D55" s="132"/>
      <c r="N55" s="138"/>
    </row>
    <row r="56" spans="3:14">
      <c r="N56" s="138"/>
    </row>
    <row r="57" spans="3:14">
      <c r="D57" s="591">
        <v>44981</v>
      </c>
      <c r="E57" s="591"/>
      <c r="F57" s="591"/>
      <c r="G57" s="88">
        <v>0</v>
      </c>
      <c r="H57" s="148" t="s">
        <v>280</v>
      </c>
      <c r="I57" s="254"/>
      <c r="N57" s="138"/>
    </row>
    <row r="58" spans="3:14">
      <c r="E58" s="88"/>
      <c r="F58" s="88"/>
      <c r="G58" s="256">
        <f>G57*H58</f>
        <v>0</v>
      </c>
      <c r="H58" s="253">
        <v>0.3</v>
      </c>
      <c r="I58" s="254"/>
      <c r="N58" s="138"/>
    </row>
    <row r="59" spans="3:14">
      <c r="E59" s="91"/>
      <c r="F59" s="91"/>
      <c r="G59" s="91"/>
      <c r="N59" s="138"/>
    </row>
    <row r="60" spans="3:14">
      <c r="E60" s="91"/>
      <c r="F60" s="91"/>
      <c r="G60" s="91"/>
      <c r="H60" s="257">
        <f>G58</f>
        <v>0</v>
      </c>
      <c r="N60" s="138"/>
    </row>
    <row r="61" spans="3:14">
      <c r="N61" s="138"/>
    </row>
    <row r="62" spans="3:14">
      <c r="N62" s="138"/>
    </row>
    <row r="63" spans="3:14">
      <c r="N63" s="138"/>
    </row>
    <row r="64" spans="3:14">
      <c r="D64" s="132"/>
      <c r="E64" s="132"/>
      <c r="F64" s="132"/>
      <c r="G64" s="133"/>
      <c r="H64" s="133"/>
      <c r="I64" s="133"/>
    </row>
    <row r="65" spans="3:9">
      <c r="D65" s="132"/>
      <c r="E65" s="132"/>
      <c r="F65" s="132"/>
      <c r="G65" s="133"/>
      <c r="H65" s="133"/>
      <c r="I65" s="133"/>
    </row>
    <row r="66" spans="3:9">
      <c r="F66" s="132"/>
      <c r="G66" s="133"/>
      <c r="H66" s="133"/>
      <c r="I66" s="133"/>
    </row>
    <row r="67" spans="3:9">
      <c r="G67" s="606"/>
      <c r="H67" s="606"/>
    </row>
    <row r="70" spans="3:9">
      <c r="C70" s="91" t="s">
        <v>141</v>
      </c>
    </row>
    <row r="71" spans="3:9">
      <c r="C71" t="s">
        <v>66</v>
      </c>
    </row>
    <row r="72" spans="3:9">
      <c r="C72" s="91"/>
    </row>
  </sheetData>
  <mergeCells count="13">
    <mergeCell ref="G32:H32"/>
    <mergeCell ref="A6:N6"/>
    <mergeCell ref="C7:D7"/>
    <mergeCell ref="M7:O7"/>
    <mergeCell ref="C8:D8"/>
    <mergeCell ref="M8:O8"/>
    <mergeCell ref="G67:H67"/>
    <mergeCell ref="G34:H34"/>
    <mergeCell ref="G36:H36"/>
    <mergeCell ref="G38:H38"/>
    <mergeCell ref="G39:H39"/>
    <mergeCell ref="B41:N41"/>
    <mergeCell ref="D57:F57"/>
  </mergeCells>
  <conditionalFormatting sqref="C17:K31">
    <cfRule type="expression" dxfId="41" priority="1">
      <formula>ISNUMBER(SEARCH(TEXT($C17,"ddd"),$G$11))</formula>
    </cfRule>
  </conditionalFormatting>
  <conditionalFormatting sqref="C51:N52">
    <cfRule type="expression" dxfId="40" priority="31">
      <formula>ISNUMBER(SEARCH(TEXT($C51,"ddd"),$G$11))</formula>
    </cfRule>
  </conditionalFormatting>
  <conditionalFormatting sqref="N17:N31">
    <cfRule type="expression" dxfId="39" priority="32">
      <formula>ISNUMBER(SEARCH(TEXT($C17,"ddd"),$G$11))</formula>
    </cfRule>
  </conditionalFormatting>
  <dataValidations count="5">
    <dataValidation type="list" allowBlank="1" showInputMessage="1" showErrorMessage="1" sqref="E11:F11" xr:uid="{00000000-0002-0000-3100-000000000000}">
      <formula1>DIOLA!DateCalc</formula1>
    </dataValidation>
    <dataValidation type="custom" allowBlank="1" showInputMessage="1" showErrorMessage="1" sqref="E17:G31 G51:G52" xr:uid="{00000000-0002-0000-3100-000001000000}">
      <formula1>AND($G17&lt;=1,ISNUMBER($G17))</formula1>
    </dataValidation>
    <dataValidation type="custom" allowBlank="1" showInputMessage="1" showErrorMessage="1" sqref="H17:H31 H51:H52" xr:uid="{00000000-0002-0000-3100-000002000000}">
      <formula1>AND($H17&lt;=1,ISNUMBER($H17),($H17&gt;=$G17))</formula1>
    </dataValidation>
    <dataValidation type="list" allowBlank="1" showInputMessage="1" showErrorMessage="1" sqref="D11 H45" xr:uid="{00000000-0002-0000-3100-000003000000}">
      <formula1>DateCalc</formula1>
    </dataValidation>
    <dataValidation type="list" allowBlank="1" showInputMessage="1" showErrorMessage="1" sqref="G11" xr:uid="{00000000-0002-0000-3100-000004000000}"/>
  </dataValidations>
  <pageMargins left="1.07083333333333" right="0.25" top="0.359722222222222" bottom="0.39791666666666697" header="0.29861111111111099" footer="0.29861111111111099"/>
  <pageSetup paperSize="9" scale="91" orientation="landscape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22561" r:id="rId4" name="Check Box 1">
              <controlPr defaultSize="0" print="0" autoPict="0">
                <anchor moveWithCells="1">
                  <from>
                    <xdr:col>7</xdr:col>
                    <xdr:colOff>180975</xdr:colOff>
                    <xdr:row>9</xdr:row>
                    <xdr:rowOff>28575</xdr:rowOff>
                  </from>
                  <to>
                    <xdr:col>8</xdr:col>
                    <xdr:colOff>571500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3100-000005000000}">
          <x14:formula1>
            <xm:f>Data!$B$2:$B$13</xm:f>
          </x14:formula1>
          <xm:sqref>C11 G45</xm:sqref>
        </x14:dataValidation>
        <x14:dataValidation type="list" allowBlank="1" showInputMessage="1" showErrorMessage="1" xr:uid="{00000000-0002-0000-3100-000006000000}">
          <x14:formula1>
            <xm:f>Data!$A$2:$A$12</xm:f>
          </x14:formula1>
          <xm:sqref>B11 D45:F45</xm:sqref>
        </x14:dataValidation>
        <x14:dataValidation type="list" allowBlank="1" showInputMessage="1" showErrorMessage="1" xr:uid="{00000000-0002-0000-3100-000007000000}">
          <x14:formula1>
            <xm:f>Data!$D$2:$D$16</xm:f>
          </x14:formula1>
          <xm:sqref>I45</xm:sqref>
        </x14:dataValidation>
      </x14:dataValidations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5:AH85"/>
  <sheetViews>
    <sheetView showGridLines="0" view="pageLayout" topLeftCell="A4" zoomScaleNormal="100" workbookViewId="0">
      <selection activeCell="B11" sqref="B11"/>
    </sheetView>
  </sheetViews>
  <sheetFormatPr defaultColWidth="9" defaultRowHeight="12.75"/>
  <cols>
    <col min="1" max="1" width="1.625" customWidth="1"/>
    <col min="2" max="2" width="5.375" customWidth="1"/>
    <col min="3" max="3" width="7.125" customWidth="1"/>
    <col min="4" max="6" width="7.625" customWidth="1"/>
    <col min="7" max="7" width="10.125" customWidth="1"/>
    <col min="8" max="8" width="9.625" customWidth="1"/>
    <col min="9" max="9" width="8.125" customWidth="1"/>
    <col min="10" max="10" width="10.125" customWidth="1"/>
    <col min="11" max="11" width="7.875" customWidth="1"/>
    <col min="12" max="12" width="10.125" customWidth="1"/>
    <col min="13" max="13" width="10.375" customWidth="1"/>
    <col min="14" max="14" width="10.875" customWidth="1"/>
    <col min="15" max="15" width="16.875" customWidth="1"/>
    <col min="18" max="18" width="11.125" customWidth="1"/>
  </cols>
  <sheetData>
    <row r="5" spans="1:15" ht="25.5" customHeight="1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15" s="47" customFormat="1" ht="25.5" customHeight="1">
      <c r="A6" s="603"/>
      <c r="B6" s="603"/>
      <c r="C6" s="603"/>
      <c r="D6" s="603"/>
      <c r="E6" s="603"/>
      <c r="F6" s="603"/>
      <c r="G6" s="603"/>
      <c r="H6" s="603"/>
      <c r="I6" s="603"/>
      <c r="J6" s="603"/>
      <c r="K6" s="603"/>
      <c r="L6" s="603"/>
      <c r="M6" s="603"/>
      <c r="N6" s="603"/>
    </row>
    <row r="7" spans="1:15" ht="18.75" customHeight="1">
      <c r="C7" s="527" t="s">
        <v>3</v>
      </c>
      <c r="D7" s="527"/>
      <c r="E7" s="49"/>
      <c r="F7" s="49"/>
      <c r="G7" s="50" t="s">
        <v>332</v>
      </c>
      <c r="H7" s="51"/>
      <c r="K7" s="49" t="s">
        <v>174</v>
      </c>
      <c r="M7" s="599" t="str">
        <f>PAALAN!L7</f>
        <v>September  11-25, 2026</v>
      </c>
      <c r="N7" s="599"/>
      <c r="O7" s="599"/>
    </row>
    <row r="8" spans="1:15" ht="18.75" customHeight="1">
      <c r="C8" s="527" t="s">
        <v>175</v>
      </c>
      <c r="D8" s="527"/>
      <c r="E8" s="49"/>
      <c r="F8" s="49"/>
      <c r="G8" s="50" t="s">
        <v>369</v>
      </c>
      <c r="H8" s="51"/>
      <c r="K8" s="49" t="s">
        <v>176</v>
      </c>
      <c r="L8" s="92"/>
      <c r="M8" s="600" t="str">
        <f>PAALAN!L8</f>
        <v>9/31/2026</v>
      </c>
      <c r="N8" s="600"/>
      <c r="O8" s="600"/>
    </row>
    <row r="9" spans="1:15">
      <c r="C9" s="52"/>
      <c r="D9" s="53"/>
      <c r="E9" s="53"/>
      <c r="F9" s="53"/>
      <c r="G9" s="53"/>
    </row>
    <row r="10" spans="1:15">
      <c r="B10" s="54" t="s">
        <v>10</v>
      </c>
      <c r="C10" s="54" t="s">
        <v>11</v>
      </c>
      <c r="D10" s="54" t="s">
        <v>12</v>
      </c>
      <c r="E10" s="54"/>
      <c r="F10" s="54"/>
      <c r="G10" s="55" t="s">
        <v>13</v>
      </c>
    </row>
    <row r="11" spans="1:15">
      <c r="B11" s="56">
        <v>2025</v>
      </c>
      <c r="C11" s="56" t="s">
        <v>214</v>
      </c>
      <c r="D11" s="56">
        <v>11</v>
      </c>
      <c r="E11" s="56"/>
      <c r="F11" s="56"/>
      <c r="G11" s="56" t="s">
        <v>178</v>
      </c>
    </row>
    <row r="12" spans="1:15">
      <c r="B12" s="57"/>
      <c r="C12" s="57"/>
      <c r="H12" s="57"/>
      <c r="K12" s="57"/>
      <c r="L12" s="57"/>
      <c r="M12" s="57"/>
    </row>
    <row r="13" spans="1:15" ht="32.1" customHeight="1">
      <c r="B13" s="159" t="s">
        <v>16</v>
      </c>
      <c r="C13" s="159" t="s">
        <v>17</v>
      </c>
      <c r="D13" s="159" t="s">
        <v>18</v>
      </c>
      <c r="E13" s="160"/>
      <c r="F13" s="160"/>
      <c r="G13" s="160" t="s">
        <v>19</v>
      </c>
      <c r="H13" s="161" t="s">
        <v>179</v>
      </c>
      <c r="L13" s="93"/>
      <c r="M13" s="93"/>
      <c r="N13" s="94"/>
    </row>
    <row r="14" spans="1:15">
      <c r="B14" s="61">
        <v>0.33333333333333298</v>
      </c>
      <c r="C14" s="62">
        <v>10</v>
      </c>
      <c r="D14" s="63">
        <f>(14760.12/26)/8</f>
        <v>70.962115384615387</v>
      </c>
      <c r="E14" s="142"/>
      <c r="F14" s="142"/>
      <c r="G14" s="64">
        <f>(D14*25%)+D14</f>
        <v>88.702644230769238</v>
      </c>
      <c r="H14" s="65">
        <v>104</v>
      </c>
      <c r="I14" s="95"/>
      <c r="L14" s="57"/>
      <c r="M14" s="57"/>
      <c r="N14" s="95"/>
    </row>
    <row r="15" spans="1:15">
      <c r="N15" s="96"/>
    </row>
    <row r="16" spans="1:15" ht="23.25">
      <c r="B16" s="66"/>
      <c r="C16" s="67" t="s">
        <v>20</v>
      </c>
      <c r="D16" s="67" t="s">
        <v>12</v>
      </c>
      <c r="E16" s="67"/>
      <c r="F16" s="67"/>
      <c r="G16" s="67" t="s">
        <v>21</v>
      </c>
      <c r="H16" s="67" t="s">
        <v>22</v>
      </c>
      <c r="I16" s="68" t="s">
        <v>23</v>
      </c>
      <c r="J16" s="68" t="s">
        <v>24</v>
      </c>
      <c r="K16" s="68" t="s">
        <v>25</v>
      </c>
      <c r="L16" s="67" t="s">
        <v>180</v>
      </c>
      <c r="M16" s="134" t="s">
        <v>181</v>
      </c>
      <c r="N16" s="67" t="s">
        <v>26</v>
      </c>
    </row>
    <row r="17" spans="2:34">
      <c r="B17" s="69">
        <v>1</v>
      </c>
      <c r="C17" s="70">
        <v>45819</v>
      </c>
      <c r="D17" s="71">
        <v>45819</v>
      </c>
      <c r="E17" s="72">
        <v>0.29166666666666669</v>
      </c>
      <c r="F17" s="72">
        <v>0</v>
      </c>
      <c r="G17" s="72">
        <f t="shared" ref="G17:G29" si="0">E17-F17</f>
        <v>0.29166666666666669</v>
      </c>
      <c r="H17" s="72">
        <v>0</v>
      </c>
      <c r="I17" s="73">
        <v>0</v>
      </c>
      <c r="J17" s="73">
        <f t="shared" ref="J17:J32" si="1">IFERROR(IF(AND(G17&lt;&gt;"",H17&lt;&gt;""),IF(G17&gt;$B$14+TIME($C$14,($C$14-INT($C$14))*60,0),0,IF(H17&gt;$B$14+TIME($C$14,($C$14-INT($C$14))*60,0),MIN(TIME($C$14,($C$14-INT($C$14))*60,0),($B$14+TIME($C$14,($C$14-INT($C$14))*60,0)-G17)),MIN(IF((H17-$B$14)&lt;0,0,(H17-$B$14)),(H17-G17))))*24,"")-I17,"")</f>
        <v>-7</v>
      </c>
      <c r="K17" s="73">
        <f t="shared" ref="K17:K32" si="2">IF(AND(G17&lt;&gt;"",H17&lt;&gt;""),((IF(G17&lt;$B$14,MIN($B$14-G17,H17-G17),0)+IF(H17&gt;$B$14+TIME($C$14,($C$14-INT($C$14))*60,0),MIN((H17-$B$14-TIME($C$14,($C$14-INT($C$14))*60,0)),(H17-G17)),0))*24),"")</f>
        <v>-7</v>
      </c>
      <c r="L17" s="101">
        <v>0</v>
      </c>
      <c r="M17" s="102">
        <f>(D14/60)*0</f>
        <v>0</v>
      </c>
      <c r="N17" s="111">
        <v>-1117.6533173076923</v>
      </c>
      <c r="O17" s="141">
        <f t="shared" ref="O17:O31" si="3">M17+N17</f>
        <v>-1117.6533173076923</v>
      </c>
      <c r="P17" s="100"/>
      <c r="Q17" s="89"/>
    </row>
    <row r="18" spans="2:34">
      <c r="B18" s="69">
        <v>2</v>
      </c>
      <c r="C18" s="70">
        <f t="shared" ref="C18:D31" si="4">C17+1</f>
        <v>45820</v>
      </c>
      <c r="D18" s="71">
        <f t="shared" si="4"/>
        <v>45820</v>
      </c>
      <c r="E18" s="72">
        <v>0</v>
      </c>
      <c r="F18" s="72">
        <v>0</v>
      </c>
      <c r="G18" s="72">
        <f t="shared" si="0"/>
        <v>0</v>
      </c>
      <c r="H18" s="72">
        <v>0</v>
      </c>
      <c r="I18" s="73">
        <v>0</v>
      </c>
      <c r="J18" s="73">
        <f t="shared" si="1"/>
        <v>0</v>
      </c>
      <c r="K18" s="73">
        <f t="shared" si="2"/>
        <v>0</v>
      </c>
      <c r="L18" s="101">
        <v>0</v>
      </c>
      <c r="M18" s="102">
        <f>(D14/60)*0</f>
        <v>0</v>
      </c>
      <c r="N18" s="99">
        <v>0</v>
      </c>
      <c r="O18" s="141">
        <f t="shared" si="3"/>
        <v>0</v>
      </c>
      <c r="P18" s="89"/>
      <c r="Q18" s="89"/>
    </row>
    <row r="19" spans="2:34">
      <c r="B19" s="69">
        <v>3</v>
      </c>
      <c r="C19" s="70">
        <f t="shared" si="4"/>
        <v>45821</v>
      </c>
      <c r="D19" s="71">
        <f t="shared" si="4"/>
        <v>45821</v>
      </c>
      <c r="E19" s="72">
        <v>0.34027777777777773</v>
      </c>
      <c r="F19" s="72">
        <v>6.9444444444444441E-3</v>
      </c>
      <c r="G19" s="72">
        <f t="shared" si="0"/>
        <v>0.33333333333333331</v>
      </c>
      <c r="H19" s="72">
        <v>0.75</v>
      </c>
      <c r="I19" s="73">
        <v>1</v>
      </c>
      <c r="J19" s="73">
        <f t="shared" si="1"/>
        <v>9</v>
      </c>
      <c r="K19" s="73">
        <f t="shared" si="2"/>
        <v>0</v>
      </c>
      <c r="L19" s="101">
        <v>0</v>
      </c>
      <c r="M19" s="102">
        <f>(D14/60)*0</f>
        <v>0</v>
      </c>
      <c r="N19" s="99">
        <v>638.65903846153844</v>
      </c>
      <c r="O19" s="141">
        <f t="shared" si="3"/>
        <v>638.65903846153844</v>
      </c>
      <c r="P19" s="100"/>
      <c r="Q19" s="104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</row>
    <row r="20" spans="2:34">
      <c r="B20" s="69">
        <v>4</v>
      </c>
      <c r="C20" s="70">
        <f t="shared" si="4"/>
        <v>45822</v>
      </c>
      <c r="D20" s="71">
        <f t="shared" si="4"/>
        <v>45822</v>
      </c>
      <c r="E20" s="72">
        <v>0.34583333333333338</v>
      </c>
      <c r="F20" s="72">
        <v>6.9444444444444441E-3</v>
      </c>
      <c r="G20" s="72">
        <f t="shared" si="0"/>
        <v>0.33888888888888896</v>
      </c>
      <c r="H20" s="72">
        <v>0.75</v>
      </c>
      <c r="I20" s="73">
        <v>1</v>
      </c>
      <c r="J20" s="73">
        <f t="shared" si="1"/>
        <v>8.8666666666666654</v>
      </c>
      <c r="K20" s="73">
        <f t="shared" si="2"/>
        <v>0</v>
      </c>
      <c r="L20" s="110">
        <v>5.5555555555555558E-3</v>
      </c>
      <c r="M20" s="102">
        <f>(D14/60)*8</f>
        <v>9.461615384615385</v>
      </c>
      <c r="N20" s="111">
        <v>629.19742307692297</v>
      </c>
      <c r="O20" s="141">
        <f t="shared" si="3"/>
        <v>638.65903846153833</v>
      </c>
      <c r="P20" s="103"/>
      <c r="Q20" s="103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28"/>
    </row>
    <row r="21" spans="2:34">
      <c r="B21" s="69"/>
      <c r="C21" s="70">
        <f t="shared" si="4"/>
        <v>45823</v>
      </c>
      <c r="D21" s="71">
        <f t="shared" si="4"/>
        <v>45823</v>
      </c>
      <c r="E21" s="72">
        <v>0</v>
      </c>
      <c r="F21" s="72">
        <v>0</v>
      </c>
      <c r="G21" s="72">
        <f t="shared" si="0"/>
        <v>0</v>
      </c>
      <c r="H21" s="72">
        <v>0</v>
      </c>
      <c r="I21" s="73">
        <v>0</v>
      </c>
      <c r="J21" s="73">
        <f t="shared" si="1"/>
        <v>0</v>
      </c>
      <c r="K21" s="73">
        <f t="shared" si="2"/>
        <v>0</v>
      </c>
      <c r="L21" s="97">
        <v>0</v>
      </c>
      <c r="M21" s="98">
        <f>(D14/60)*0</f>
        <v>0</v>
      </c>
      <c r="N21" s="99">
        <v>0</v>
      </c>
      <c r="O21" s="141">
        <f t="shared" si="3"/>
        <v>0</v>
      </c>
      <c r="P21" s="162"/>
      <c r="Q21" s="108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4"/>
    </row>
    <row r="22" spans="2:34">
      <c r="B22" s="69">
        <v>5</v>
      </c>
      <c r="C22" s="70">
        <f t="shared" si="4"/>
        <v>45824</v>
      </c>
      <c r="D22" s="71">
        <f t="shared" si="4"/>
        <v>45824</v>
      </c>
      <c r="E22" s="72">
        <v>0.34027777777777773</v>
      </c>
      <c r="F22" s="72">
        <v>6.9444444444444441E-3</v>
      </c>
      <c r="G22" s="72">
        <f t="shared" si="0"/>
        <v>0.33333333333333331</v>
      </c>
      <c r="H22" s="72">
        <v>0.75</v>
      </c>
      <c r="I22" s="73">
        <v>1</v>
      </c>
      <c r="J22" s="73">
        <f t="shared" si="1"/>
        <v>9</v>
      </c>
      <c r="K22" s="73">
        <v>0</v>
      </c>
      <c r="L22" s="101">
        <v>0</v>
      </c>
      <c r="M22" s="102">
        <f>(D14/60)*0</f>
        <v>0</v>
      </c>
      <c r="N22" s="99">
        <v>638.65903846153844</v>
      </c>
      <c r="O22" s="141">
        <f t="shared" si="3"/>
        <v>638.65903846153844</v>
      </c>
      <c r="P22" s="163">
        <f>O21-O22</f>
        <v>-638.65903846153844</v>
      </c>
      <c r="Q22" s="135"/>
      <c r="R22" s="96">
        <v>0.40486111111111101</v>
      </c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4"/>
    </row>
    <row r="23" spans="2:34">
      <c r="B23" s="69">
        <v>6</v>
      </c>
      <c r="C23" s="70">
        <f t="shared" si="4"/>
        <v>45825</v>
      </c>
      <c r="D23" s="71">
        <f t="shared" si="4"/>
        <v>45825</v>
      </c>
      <c r="E23" s="72">
        <v>0.38194444444444442</v>
      </c>
      <c r="F23" s="72">
        <v>6.9444444444444441E-3</v>
      </c>
      <c r="G23" s="72">
        <f t="shared" si="0"/>
        <v>0.375</v>
      </c>
      <c r="H23" s="72">
        <v>0.5</v>
      </c>
      <c r="I23" s="73">
        <v>0</v>
      </c>
      <c r="J23" s="73">
        <f t="shared" si="1"/>
        <v>3</v>
      </c>
      <c r="K23" s="73">
        <f t="shared" ref="K23:K24" si="5">IF(AND(G23&lt;&gt;"",H23&lt;&gt;""),((IF(G23&lt;$B$14,MIN($B$14-G23,H23-G23),0)+IF(H23&gt;$B$14+TIME($C$14,($C$14-INT($C$14))*60,0),MIN((H23-$B$14-TIME($C$14,($C$14-INT($C$14))*60,0)),(H23-G23)),0))*24),"")</f>
        <v>0</v>
      </c>
      <c r="L23" s="101">
        <v>0</v>
      </c>
      <c r="M23" s="102">
        <v>0</v>
      </c>
      <c r="N23" s="111">
        <v>212.88634615384615</v>
      </c>
      <c r="O23" s="141">
        <f t="shared" si="3"/>
        <v>212.88634615384615</v>
      </c>
      <c r="P23" s="150"/>
      <c r="Q23" s="89"/>
      <c r="R23" s="96">
        <v>1.0416666666666701E-2</v>
      </c>
    </row>
    <row r="24" spans="2:34">
      <c r="B24" s="69">
        <v>7</v>
      </c>
      <c r="C24" s="70">
        <f t="shared" si="4"/>
        <v>45826</v>
      </c>
      <c r="D24" s="71">
        <f t="shared" si="4"/>
        <v>45826</v>
      </c>
      <c r="E24" s="72">
        <v>0</v>
      </c>
      <c r="F24" s="72">
        <v>0</v>
      </c>
      <c r="G24" s="72">
        <f t="shared" si="0"/>
        <v>0</v>
      </c>
      <c r="H24" s="72">
        <v>0</v>
      </c>
      <c r="I24" s="73">
        <v>0</v>
      </c>
      <c r="J24" s="73">
        <f t="shared" si="1"/>
        <v>0</v>
      </c>
      <c r="K24" s="73">
        <f t="shared" si="5"/>
        <v>0</v>
      </c>
      <c r="L24" s="101">
        <v>0</v>
      </c>
      <c r="M24" s="102">
        <f>(D14/60)*0</f>
        <v>0</v>
      </c>
      <c r="N24" s="111">
        <v>0</v>
      </c>
      <c r="O24" s="141">
        <f t="shared" si="3"/>
        <v>0</v>
      </c>
      <c r="P24" s="155"/>
      <c r="Q24" s="89"/>
      <c r="R24" s="129">
        <f>R22-R23</f>
        <v>0.39444444444444432</v>
      </c>
    </row>
    <row r="25" spans="2:34">
      <c r="B25" s="69">
        <v>8</v>
      </c>
      <c r="C25" s="70">
        <f t="shared" si="4"/>
        <v>45827</v>
      </c>
      <c r="D25" s="71">
        <f t="shared" si="4"/>
        <v>45827</v>
      </c>
      <c r="E25" s="72">
        <v>0.34027777777777773</v>
      </c>
      <c r="F25" s="72">
        <v>6.9444444444444441E-3</v>
      </c>
      <c r="G25" s="72">
        <f t="shared" si="0"/>
        <v>0.33333333333333331</v>
      </c>
      <c r="H25" s="72">
        <v>0.75</v>
      </c>
      <c r="I25" s="73">
        <v>1</v>
      </c>
      <c r="J25" s="73">
        <f t="shared" si="1"/>
        <v>9</v>
      </c>
      <c r="K25" s="73">
        <f t="shared" si="2"/>
        <v>0</v>
      </c>
      <c r="L25" s="110">
        <v>0</v>
      </c>
      <c r="M25" s="102">
        <f>(D14/60)*0</f>
        <v>0</v>
      </c>
      <c r="N25" s="111">
        <v>638.65903846153844</v>
      </c>
      <c r="O25" s="141">
        <f t="shared" si="3"/>
        <v>638.65903846153844</v>
      </c>
      <c r="P25" s="89"/>
      <c r="Q25" s="89"/>
    </row>
    <row r="26" spans="2:34">
      <c r="B26" s="69">
        <v>9</v>
      </c>
      <c r="C26" s="70">
        <f t="shared" si="4"/>
        <v>45828</v>
      </c>
      <c r="D26" s="71">
        <f t="shared" si="4"/>
        <v>45828</v>
      </c>
      <c r="E26" s="72">
        <v>0.34027777777777773</v>
      </c>
      <c r="F26" s="72">
        <v>6.9444444444444441E-3</v>
      </c>
      <c r="G26" s="72">
        <f t="shared" si="0"/>
        <v>0.33333333333333331</v>
      </c>
      <c r="H26" s="72">
        <v>0.75</v>
      </c>
      <c r="I26" s="73">
        <v>1</v>
      </c>
      <c r="J26" s="73">
        <f t="shared" si="1"/>
        <v>9</v>
      </c>
      <c r="K26" s="73">
        <f t="shared" si="2"/>
        <v>0</v>
      </c>
      <c r="L26" s="110">
        <v>0</v>
      </c>
      <c r="M26" s="102">
        <f>(D14/60)*0</f>
        <v>0</v>
      </c>
      <c r="N26" s="111">
        <v>638.65903846153844</v>
      </c>
      <c r="O26" s="141">
        <f t="shared" si="3"/>
        <v>638.65903846153844</v>
      </c>
      <c r="P26" s="89"/>
      <c r="Q26" s="89"/>
    </row>
    <row r="27" spans="2:34">
      <c r="B27" s="69">
        <v>10</v>
      </c>
      <c r="C27" s="70">
        <f t="shared" si="4"/>
        <v>45829</v>
      </c>
      <c r="D27" s="71">
        <f t="shared" si="4"/>
        <v>45829</v>
      </c>
      <c r="E27" s="72">
        <v>0.34027777777777773</v>
      </c>
      <c r="F27" s="72">
        <v>6.9444444444444441E-3</v>
      </c>
      <c r="G27" s="72">
        <f t="shared" si="0"/>
        <v>0.33333333333333331</v>
      </c>
      <c r="H27" s="72">
        <v>0.75</v>
      </c>
      <c r="I27" s="73">
        <v>1</v>
      </c>
      <c r="J27" s="73">
        <f t="shared" si="1"/>
        <v>9</v>
      </c>
      <c r="K27" s="73">
        <f t="shared" si="2"/>
        <v>0</v>
      </c>
      <c r="L27" s="110">
        <v>0</v>
      </c>
      <c r="M27" s="102">
        <f>(D14/60)*0</f>
        <v>0</v>
      </c>
      <c r="N27" s="111">
        <v>638.65903846153844</v>
      </c>
      <c r="O27" s="141">
        <f t="shared" si="3"/>
        <v>638.65903846153844</v>
      </c>
      <c r="P27" s="127"/>
      <c r="Q27" s="89"/>
    </row>
    <row r="28" spans="2:34">
      <c r="B28" s="69"/>
      <c r="C28" s="70">
        <f t="shared" si="4"/>
        <v>45830</v>
      </c>
      <c r="D28" s="71">
        <f t="shared" si="4"/>
        <v>45830</v>
      </c>
      <c r="E28" s="72">
        <v>0</v>
      </c>
      <c r="F28" s="72">
        <v>0</v>
      </c>
      <c r="G28" s="72">
        <f t="shared" si="0"/>
        <v>0</v>
      </c>
      <c r="H28" s="72">
        <v>0</v>
      </c>
      <c r="I28" s="73">
        <v>0</v>
      </c>
      <c r="J28" s="73">
        <f t="shared" si="1"/>
        <v>0</v>
      </c>
      <c r="K28" s="73">
        <f t="shared" si="2"/>
        <v>0</v>
      </c>
      <c r="L28" s="110">
        <v>0</v>
      </c>
      <c r="M28" s="98">
        <f>(D14/60)*0</f>
        <v>0</v>
      </c>
      <c r="N28" s="111">
        <v>0</v>
      </c>
      <c r="O28" s="141">
        <f t="shared" si="3"/>
        <v>0</v>
      </c>
      <c r="Q28" s="89"/>
    </row>
    <row r="29" spans="2:34">
      <c r="B29" s="69">
        <v>11</v>
      </c>
      <c r="C29" s="70">
        <f t="shared" si="4"/>
        <v>45831</v>
      </c>
      <c r="D29" s="71">
        <f t="shared" si="4"/>
        <v>45831</v>
      </c>
      <c r="E29" s="72">
        <v>0.38194444444444442</v>
      </c>
      <c r="F29" s="72">
        <v>6.9444444444444441E-3</v>
      </c>
      <c r="G29" s="72">
        <f t="shared" si="0"/>
        <v>0.375</v>
      </c>
      <c r="H29" s="72">
        <v>0.5</v>
      </c>
      <c r="I29" s="73">
        <v>0</v>
      </c>
      <c r="J29" s="73">
        <f t="shared" si="1"/>
        <v>3</v>
      </c>
      <c r="K29" s="73">
        <v>0</v>
      </c>
      <c r="L29" s="110">
        <v>0</v>
      </c>
      <c r="M29" s="102">
        <v>0</v>
      </c>
      <c r="N29" s="111">
        <v>212.88634615384615</v>
      </c>
      <c r="O29" s="141">
        <f t="shared" si="3"/>
        <v>212.88634615384615</v>
      </c>
      <c r="P29" s="95">
        <f>O28-O29</f>
        <v>-212.88634615384615</v>
      </c>
      <c r="Q29" s="89"/>
    </row>
    <row r="30" spans="2:34">
      <c r="B30" s="69">
        <v>12</v>
      </c>
      <c r="C30" s="70">
        <f t="shared" si="4"/>
        <v>45832</v>
      </c>
      <c r="D30" s="71">
        <f t="shared" si="4"/>
        <v>45832</v>
      </c>
      <c r="E30" s="72">
        <v>0</v>
      </c>
      <c r="F30" s="72">
        <v>0</v>
      </c>
      <c r="G30" s="72">
        <v>0</v>
      </c>
      <c r="H30" s="72">
        <v>0</v>
      </c>
      <c r="I30" s="73">
        <v>0</v>
      </c>
      <c r="J30" s="73">
        <v>0</v>
      </c>
      <c r="K30" s="73">
        <v>0</v>
      </c>
      <c r="L30" s="110">
        <v>0</v>
      </c>
      <c r="M30" s="102">
        <f>(D14/60)*0</f>
        <v>0</v>
      </c>
      <c r="N30" s="111">
        <v>0</v>
      </c>
      <c r="O30" s="141">
        <f t="shared" si="3"/>
        <v>0</v>
      </c>
      <c r="P30" s="127"/>
      <c r="Q30" s="89"/>
    </row>
    <row r="31" spans="2:34">
      <c r="B31" s="69">
        <v>13</v>
      </c>
      <c r="C31" s="70">
        <f t="shared" si="4"/>
        <v>45833</v>
      </c>
      <c r="D31" s="71">
        <f t="shared" si="4"/>
        <v>45833</v>
      </c>
      <c r="E31" s="72">
        <v>0</v>
      </c>
      <c r="F31" s="72">
        <v>0</v>
      </c>
      <c r="G31" s="72">
        <v>0</v>
      </c>
      <c r="H31" s="72">
        <v>0</v>
      </c>
      <c r="I31" s="73">
        <v>0</v>
      </c>
      <c r="J31" s="73">
        <f t="shared" si="1"/>
        <v>0</v>
      </c>
      <c r="K31" s="73">
        <f t="shared" ref="K31" si="6">IF(AND(G31&lt;&gt;"",H31&lt;&gt;""),((IF(G31&lt;$B$14,MIN($B$14-G31,H31-G31),0)+IF(H31&gt;$B$14+TIME($C$14,($C$14-INT($C$14))*60,0),MIN((H31-$B$14-TIME($C$14,($C$14-INT($C$14))*60,0)),(H31-G31)),0))*24),"")</f>
        <v>0</v>
      </c>
      <c r="L31" s="110">
        <v>0</v>
      </c>
      <c r="M31" s="102">
        <v>0</v>
      </c>
      <c r="N31" s="99">
        <v>0</v>
      </c>
      <c r="O31" s="141">
        <f t="shared" si="3"/>
        <v>0</v>
      </c>
      <c r="P31" s="95">
        <f>O28-O31</f>
        <v>0</v>
      </c>
    </row>
    <row r="32" spans="2:34">
      <c r="B32" s="69"/>
      <c r="C32" s="70"/>
      <c r="D32" s="71"/>
      <c r="E32" s="71"/>
      <c r="F32" s="71"/>
      <c r="G32" s="72"/>
      <c r="H32" s="72"/>
      <c r="I32" s="73"/>
      <c r="J32" s="73" t="str">
        <f t="shared" si="1"/>
        <v/>
      </c>
      <c r="K32" s="73" t="str">
        <f t="shared" si="2"/>
        <v/>
      </c>
      <c r="L32" s="110"/>
      <c r="M32" s="102"/>
      <c r="N32" s="99"/>
      <c r="O32" s="164"/>
      <c r="P32" s="127"/>
    </row>
    <row r="33" spans="2:17">
      <c r="B33" s="66"/>
      <c r="C33" s="76"/>
      <c r="D33" s="77"/>
      <c r="E33" s="144"/>
      <c r="F33" s="144"/>
      <c r="G33" s="597" t="s">
        <v>182</v>
      </c>
      <c r="H33" s="598"/>
      <c r="I33" s="80">
        <f t="shared" ref="I33:L33" si="7">SUM(I17:I32)</f>
        <v>6</v>
      </c>
      <c r="J33" s="80">
        <f t="shared" si="7"/>
        <v>52.866666666666667</v>
      </c>
      <c r="K33" s="80">
        <f t="shared" si="7"/>
        <v>-7</v>
      </c>
      <c r="L33" s="113">
        <f t="shared" si="7"/>
        <v>5.5555555555555558E-3</v>
      </c>
      <c r="M33" s="114">
        <f>SUM(M17:M32)</f>
        <v>9.461615384615385</v>
      </c>
      <c r="N33" s="66"/>
      <c r="O33" s="165">
        <f>SUM(O17:O31)</f>
        <v>3140.0736057692307</v>
      </c>
      <c r="P33" s="165">
        <f>SUM(P17:P31)</f>
        <v>-851.54538461538459</v>
      </c>
      <c r="Q33" s="95">
        <f>O33+P33</f>
        <v>2288.5282211538461</v>
      </c>
    </row>
    <row r="34" spans="2:17">
      <c r="B34" s="66"/>
      <c r="C34" s="76"/>
      <c r="D34" s="77"/>
      <c r="E34" s="144"/>
      <c r="F34" s="144"/>
      <c r="G34" s="81" t="s">
        <v>39</v>
      </c>
      <c r="H34" s="82"/>
      <c r="I34" s="83"/>
      <c r="J34" s="84"/>
      <c r="K34" s="116"/>
      <c r="L34" s="102">
        <f>(D14/60)*8</f>
        <v>9.461615384615385</v>
      </c>
      <c r="M34" s="118"/>
      <c r="N34" s="166">
        <f>(D14*H14)-N54</f>
        <v>7380.06</v>
      </c>
      <c r="O34" s="95"/>
      <c r="P34" s="95"/>
      <c r="Q34" s="95"/>
    </row>
    <row r="35" spans="2:17">
      <c r="B35" s="65"/>
      <c r="C35" s="65"/>
      <c r="D35" s="85"/>
      <c r="E35" s="85"/>
      <c r="F35" s="85"/>
      <c r="G35" s="592" t="s">
        <v>183</v>
      </c>
      <c r="H35" s="592"/>
      <c r="I35" s="80"/>
      <c r="J35" s="80">
        <f>H14-J33</f>
        <v>51.133333333333333</v>
      </c>
      <c r="K35" s="65"/>
      <c r="L35" s="120"/>
      <c r="M35" s="65"/>
      <c r="N35" s="121">
        <f>M33</f>
        <v>9.461615384615385</v>
      </c>
      <c r="O35" s="151">
        <f>O33-O34</f>
        <v>3140.0736057692307</v>
      </c>
      <c r="P35" s="95"/>
      <c r="Q35" s="95"/>
    </row>
    <row r="36" spans="2:17">
      <c r="B36" s="65"/>
      <c r="C36" s="65"/>
      <c r="D36" s="85"/>
      <c r="E36" s="145"/>
      <c r="F36" s="145"/>
      <c r="G36" s="78" t="s">
        <v>41</v>
      </c>
      <c r="H36" s="79"/>
      <c r="I36" s="66"/>
      <c r="J36" s="66"/>
      <c r="K36" s="80"/>
      <c r="L36" s="80"/>
      <c r="M36" s="80"/>
      <c r="N36" s="121">
        <f>N34-N35</f>
        <v>7370.5983846153849</v>
      </c>
      <c r="O36" s="95"/>
      <c r="P36" s="95"/>
      <c r="Q36" s="95"/>
    </row>
    <row r="37" spans="2:17">
      <c r="B37" s="65"/>
      <c r="C37" s="65"/>
      <c r="D37" s="85"/>
      <c r="E37" s="146"/>
      <c r="F37" s="146"/>
      <c r="G37" s="604" t="s">
        <v>184</v>
      </c>
      <c r="H37" s="605"/>
      <c r="I37" s="80"/>
      <c r="J37" s="66"/>
      <c r="K37" s="122"/>
      <c r="L37" s="122"/>
      <c r="M37" s="122"/>
      <c r="N37" s="123">
        <f>K33*G14</f>
        <v>-620.91850961538466</v>
      </c>
      <c r="O37" s="95"/>
    </row>
    <row r="38" spans="2:17">
      <c r="B38" s="65"/>
      <c r="C38" s="65"/>
      <c r="D38" s="85"/>
      <c r="E38" s="146"/>
      <c r="F38" s="146"/>
      <c r="G38" s="86" t="s">
        <v>185</v>
      </c>
      <c r="H38" s="87"/>
      <c r="I38" s="80"/>
      <c r="J38" s="66"/>
      <c r="K38" s="122"/>
      <c r="L38" s="122"/>
      <c r="M38" s="122"/>
      <c r="N38" s="123">
        <f>N54</f>
        <v>0</v>
      </c>
      <c r="O38" s="95"/>
    </row>
    <row r="39" spans="2:17">
      <c r="B39" s="65"/>
      <c r="C39" s="65"/>
      <c r="D39" s="85"/>
      <c r="E39" s="145"/>
      <c r="F39" s="145"/>
      <c r="G39" s="597" t="s">
        <v>186</v>
      </c>
      <c r="H39" s="598"/>
      <c r="I39" s="66"/>
      <c r="J39" s="66"/>
      <c r="K39" s="66"/>
      <c r="L39" s="66"/>
      <c r="M39" s="66"/>
      <c r="N39" s="124">
        <f>N36+N37+N38</f>
        <v>6749.6798749999998</v>
      </c>
      <c r="O39" s="95"/>
    </row>
    <row r="40" spans="2:17">
      <c r="D40" s="88"/>
      <c r="E40" s="88"/>
      <c r="F40" s="88"/>
      <c r="G40" s="589"/>
      <c r="H40" s="589"/>
      <c r="I40" s="90"/>
      <c r="J40" s="90"/>
      <c r="K40" s="125"/>
      <c r="L40" s="125"/>
      <c r="M40" s="125"/>
      <c r="N40" s="126"/>
      <c r="O40" s="127"/>
    </row>
    <row r="41" spans="2:17">
      <c r="D41" s="91"/>
      <c r="E41" s="91"/>
      <c r="F41" s="91"/>
      <c r="M41" t="s">
        <v>196</v>
      </c>
    </row>
    <row r="42" spans="2:17">
      <c r="B42" s="590" t="s">
        <v>187</v>
      </c>
      <c r="C42" s="590"/>
      <c r="D42" s="590"/>
      <c r="E42" s="590"/>
      <c r="F42" s="590"/>
      <c r="G42" s="590"/>
      <c r="H42" s="590"/>
      <c r="I42" s="590"/>
      <c r="J42" s="590"/>
      <c r="K42" s="590"/>
      <c r="L42" s="590"/>
      <c r="M42" s="590"/>
      <c r="N42" s="590"/>
    </row>
    <row r="43" spans="2:17">
      <c r="D43" s="91"/>
      <c r="E43" s="91"/>
      <c r="F43" s="91"/>
    </row>
    <row r="44" spans="2:17">
      <c r="D44" s="91" t="s">
        <v>188</v>
      </c>
      <c r="E44" s="91"/>
      <c r="F44" s="91"/>
      <c r="N44" s="95"/>
    </row>
    <row r="45" spans="2:17">
      <c r="D45" s="54" t="s">
        <v>10</v>
      </c>
      <c r="E45" s="54"/>
      <c r="F45" s="54"/>
      <c r="G45" s="54" t="s">
        <v>11</v>
      </c>
      <c r="H45" s="54" t="s">
        <v>12</v>
      </c>
      <c r="I45" s="55" t="s">
        <v>13</v>
      </c>
    </row>
    <row r="46" spans="2:17">
      <c r="D46" s="56">
        <v>2024</v>
      </c>
      <c r="E46" s="56"/>
      <c r="F46" s="56"/>
      <c r="G46" s="56" t="s">
        <v>204</v>
      </c>
      <c r="H46" s="56">
        <v>12</v>
      </c>
      <c r="I46" s="56" t="s">
        <v>15</v>
      </c>
    </row>
    <row r="47" spans="2:17">
      <c r="D47" s="57"/>
      <c r="E47" s="57"/>
      <c r="F47" s="57"/>
      <c r="G47" s="57"/>
    </row>
    <row r="48" spans="2:17" ht="33.75">
      <c r="D48" s="159" t="s">
        <v>16</v>
      </c>
      <c r="E48" s="159"/>
      <c r="F48" s="159"/>
      <c r="G48" s="159" t="s">
        <v>17</v>
      </c>
      <c r="H48" s="159" t="s">
        <v>18</v>
      </c>
      <c r="I48" s="159" t="s">
        <v>19</v>
      </c>
    </row>
    <row r="49" spans="3:14">
      <c r="D49" s="61">
        <v>0.33333333333333298</v>
      </c>
      <c r="E49" s="61"/>
      <c r="F49" s="61"/>
      <c r="G49" s="62">
        <v>10</v>
      </c>
      <c r="H49" s="63">
        <f>D14</f>
        <v>70.962115384615387</v>
      </c>
      <c r="I49" s="130">
        <f>(H49*30%)+H49</f>
        <v>92.250750000000011</v>
      </c>
    </row>
    <row r="51" spans="3:14">
      <c r="C51" s="131" t="s">
        <v>20</v>
      </c>
      <c r="D51" s="131" t="s">
        <v>12</v>
      </c>
      <c r="E51" s="131"/>
      <c r="F51" s="131"/>
      <c r="G51" s="131" t="s">
        <v>21</v>
      </c>
      <c r="H51" s="131" t="s">
        <v>22</v>
      </c>
      <c r="I51" s="131" t="s">
        <v>23</v>
      </c>
      <c r="J51" s="131" t="s">
        <v>24</v>
      </c>
      <c r="K51" s="131" t="s">
        <v>25</v>
      </c>
      <c r="L51" s="131"/>
      <c r="M51" s="131"/>
      <c r="N51" s="131" t="s">
        <v>26</v>
      </c>
    </row>
    <row r="52" spans="3:14">
      <c r="C52" s="70" t="s">
        <v>324</v>
      </c>
      <c r="D52" s="71">
        <v>45820</v>
      </c>
      <c r="E52" s="71"/>
      <c r="F52" s="71"/>
      <c r="G52" s="72">
        <v>0</v>
      </c>
      <c r="H52" s="72">
        <v>0</v>
      </c>
      <c r="I52" s="73">
        <v>0</v>
      </c>
      <c r="J52" s="73">
        <f>IFERROR(IF(AND(G52&lt;&gt;"",H52&lt;&gt;""),IF(G52&gt;$B$14+TIME($C$14,($C$14-INT($C$14))*60,0),0,IF(H52&gt;$B$14+TIME($C$14,($C$14-INT($C$14))*60,0),MIN(TIME($C$14,($C$14-INT($C$14))*60,0),($B$14+TIME($C$14,($C$14-INT($C$14))*60,0)-G52)),MIN(IF((H52-$B$14)&lt;0,0,(H52-$B$14)),(H52-G52))))*24,"")-I52,"")</f>
        <v>0</v>
      </c>
      <c r="K52" s="73">
        <f>IF(AND(G52&lt;&gt;"",H52&lt;&gt;""),((IF(G52&lt;$D$49,MIN($D$49-G52,H52-G52),0)+IF(H52&gt;$D$49+TIME($G$49,($G$49-INT($G$49))*60,0),MIN((H52-$D$49-TIME($G$49,($G$49-INT($G$49))*60,0)),(H52-G52)),0))*24),"")</f>
        <v>0</v>
      </c>
      <c r="L52" s="73"/>
      <c r="M52" s="73"/>
      <c r="N52" s="99">
        <f>H49*J52</f>
        <v>0</v>
      </c>
    </row>
    <row r="53" spans="3:14">
      <c r="C53" s="70" t="s">
        <v>210</v>
      </c>
      <c r="D53" s="71">
        <v>17</v>
      </c>
      <c r="E53" s="71"/>
      <c r="F53" s="71"/>
      <c r="G53" s="72">
        <v>0</v>
      </c>
      <c r="H53" s="72">
        <v>0</v>
      </c>
      <c r="I53" s="73">
        <v>0</v>
      </c>
      <c r="J53" s="73">
        <f>IFERROR(IF(AND(G53&lt;&gt;"",H53&lt;&gt;""),IF(G53&gt;$B$14+TIME($C$14,($C$14-INT($C$14))*60,0),0,IF(H53&gt;$B$14+TIME($C$14,($C$14-INT($C$14))*60,0),MIN(TIME($C$14,($C$14-INT($C$14))*60,0),($B$14+TIME($C$14,($C$14-INT($C$14))*60,0)-G53)),MIN(IF((H53-$B$14)&lt;0,0,(H53-$B$14)),(H53-G53))))*24,"")-I53,"")</f>
        <v>0</v>
      </c>
      <c r="K53" s="73">
        <v>0</v>
      </c>
      <c r="L53" s="73"/>
      <c r="M53" s="73"/>
      <c r="N53" s="99">
        <f>H49*J53</f>
        <v>0</v>
      </c>
    </row>
    <row r="54" spans="3:14"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318">
        <f>SUM(N52:N53)</f>
        <v>0</v>
      </c>
    </row>
    <row r="55" spans="3:14">
      <c r="N55" s="138"/>
    </row>
    <row r="56" spans="3:14">
      <c r="N56" s="138"/>
    </row>
    <row r="57" spans="3:14">
      <c r="N57" s="138"/>
    </row>
    <row r="58" spans="3:14">
      <c r="N58" s="138"/>
    </row>
    <row r="59" spans="3:14">
      <c r="N59" s="138"/>
    </row>
    <row r="60" spans="3:14">
      <c r="N60" s="138"/>
    </row>
    <row r="61" spans="3:14">
      <c r="N61" s="138"/>
    </row>
    <row r="62" spans="3:14">
      <c r="N62" s="138"/>
    </row>
    <row r="63" spans="3:14">
      <c r="N63" s="138"/>
    </row>
    <row r="64" spans="3:14">
      <c r="N64" s="138"/>
    </row>
    <row r="65" spans="3:14">
      <c r="D65" s="132"/>
      <c r="E65" s="132"/>
      <c r="F65" s="132"/>
      <c r="G65" s="133"/>
      <c r="H65" s="133"/>
      <c r="I65" s="133"/>
    </row>
    <row r="66" spans="3:14">
      <c r="D66" s="132"/>
      <c r="E66" s="132"/>
      <c r="F66" s="132"/>
      <c r="G66" s="133"/>
      <c r="H66" s="133"/>
      <c r="I66" s="133"/>
    </row>
    <row r="67" spans="3:14">
      <c r="D67" s="132" t="s">
        <v>190</v>
      </c>
      <c r="E67" s="132"/>
      <c r="F67" s="132"/>
      <c r="G67" s="133"/>
      <c r="H67" s="133"/>
      <c r="I67" s="133"/>
    </row>
    <row r="68" spans="3:14">
      <c r="D68" s="54" t="s">
        <v>10</v>
      </c>
      <c r="E68" s="54"/>
      <c r="F68" s="54"/>
      <c r="G68" s="54" t="s">
        <v>11</v>
      </c>
      <c r="H68" s="54" t="s">
        <v>12</v>
      </c>
      <c r="I68" s="55" t="s">
        <v>13</v>
      </c>
    </row>
    <row r="69" spans="3:14">
      <c r="D69" s="56">
        <v>2022</v>
      </c>
      <c r="E69" s="56"/>
      <c r="F69" s="56"/>
      <c r="G69" s="56" t="s">
        <v>189</v>
      </c>
      <c r="H69" s="56">
        <v>27</v>
      </c>
      <c r="I69" s="56" t="s">
        <v>15</v>
      </c>
    </row>
    <row r="70" spans="3:14">
      <c r="D70" s="57"/>
      <c r="E70" s="57"/>
      <c r="F70" s="57"/>
      <c r="G70" s="57"/>
    </row>
    <row r="71" spans="3:14" ht="33.75">
      <c r="D71" s="159" t="s">
        <v>16</v>
      </c>
      <c r="E71" s="159"/>
      <c r="F71" s="159"/>
      <c r="G71" s="159" t="s">
        <v>17</v>
      </c>
      <c r="H71" s="159" t="s">
        <v>191</v>
      </c>
      <c r="I71" s="167"/>
      <c r="J71" t="s">
        <v>192</v>
      </c>
    </row>
    <row r="72" spans="3:14">
      <c r="D72" s="61">
        <v>0.33333333333333298</v>
      </c>
      <c r="E72" s="61"/>
      <c r="F72" s="61"/>
      <c r="G72" s="62">
        <v>9</v>
      </c>
      <c r="H72" s="63">
        <v>45.63</v>
      </c>
      <c r="I72" s="130"/>
    </row>
    <row r="74" spans="3:14"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</row>
    <row r="75" spans="3:14">
      <c r="C75" s="131"/>
      <c r="D75" s="131" t="s">
        <v>12</v>
      </c>
      <c r="E75" s="131"/>
      <c r="F75" s="131"/>
      <c r="G75" s="131" t="s">
        <v>21</v>
      </c>
      <c r="H75" s="131" t="s">
        <v>22</v>
      </c>
      <c r="I75" s="131" t="s">
        <v>23</v>
      </c>
      <c r="J75" s="131" t="s">
        <v>24</v>
      </c>
      <c r="K75" s="131" t="s">
        <v>25</v>
      </c>
      <c r="L75" s="131"/>
      <c r="M75" s="131"/>
      <c r="N75" s="131" t="s">
        <v>26</v>
      </c>
    </row>
    <row r="76" spans="3:14">
      <c r="C76" s="70" t="s">
        <v>193</v>
      </c>
      <c r="D76" s="71">
        <v>27</v>
      </c>
      <c r="E76" s="71"/>
      <c r="F76" s="71"/>
      <c r="G76" s="72">
        <v>0</v>
      </c>
      <c r="H76" s="72">
        <v>0</v>
      </c>
      <c r="I76" s="73"/>
      <c r="J76" s="73">
        <f>IFERROR(IF(AND(G76&lt;&gt;"",H76&lt;&gt;""),IF(G76&gt;$B$14+TIME($C$14,($C$14-INT($C$14))*60,0),0,IF(H76&gt;$B$14+TIME($C$14,($C$14-INT($C$14))*60,0),MIN(TIME($C$14,($C$14-INT($C$14))*60,0),($B$14+TIME($C$14,($C$14-INT($C$14))*60,0)-G76)),MIN(IF((H76-$B$14)&lt;0,0,(H76-$B$14)),(H76-G76))))*24,"")-I76,"")</f>
        <v>0</v>
      </c>
      <c r="K76" s="73">
        <f>IF(AND(G76&lt;&gt;"",H76&lt;&gt;""),((IF(G76&lt;$B$14,MIN($B$14-G76,H76-G76),0)+IF(H76&gt;$B$14+TIME($C$14,($C$14-INT($C$14))*60,0),MIN((H76-$B$14-TIME($C$14,($C$14-INT($C$14))*60,0)),(H76-G76)),0))*24),"")</f>
        <v>0</v>
      </c>
      <c r="L76" s="110"/>
      <c r="M76" s="102"/>
      <c r="N76" s="99">
        <f>(H72+(H72*169%))*K76</f>
        <v>0</v>
      </c>
    </row>
    <row r="77" spans="3:14">
      <c r="C77" s="70" t="s">
        <v>193</v>
      </c>
      <c r="D77" s="71">
        <v>3</v>
      </c>
      <c r="E77" s="71"/>
      <c r="F77" s="71"/>
      <c r="G77" s="72">
        <v>0</v>
      </c>
      <c r="H77" s="72">
        <v>0</v>
      </c>
      <c r="I77" s="73"/>
      <c r="J77" s="73">
        <f>IFERROR(IF(AND(G77&lt;&gt;"",H77&lt;&gt;""),IF(G77&gt;$B$14+TIME($C$14,($C$14-INT($C$14))*60,0),0,IF(H77&gt;$B$14+TIME($C$14,($C$14-INT($C$14))*60,0),MIN(TIME($C$14,($C$14-INT($C$14))*60,0),($B$14+TIME($C$14,($C$14-INT($C$14))*60,0)-G77)),MIN(IF((H77-$B$14)&lt;0,0,(H77-$B$14)),(H77-G77))))*24,"")-I77,"")</f>
        <v>0</v>
      </c>
      <c r="K77" s="73">
        <f>IF(AND(G77&lt;&gt;"",H77&lt;&gt;""),((IF(G77&lt;$D$49,MIN($D$49-G77,H77-G77),0)+IF(H77&gt;$D$49+TIME($G$49,($G$49-INT($G$49))*60,0),MIN((H77-$D$49-TIME($G$49,($G$49-INT($G$49))*60,0)),(H77-G77)),0))*24),"")</f>
        <v>0</v>
      </c>
      <c r="L77" s="73"/>
      <c r="M77" s="73"/>
      <c r="N77" s="99">
        <f>(H72+(H72*169%))*K77</f>
        <v>0</v>
      </c>
    </row>
    <row r="78" spans="3:14">
      <c r="C78" s="70"/>
      <c r="D78" s="71"/>
      <c r="E78" s="71"/>
      <c r="F78" s="71"/>
      <c r="G78" s="72"/>
      <c r="H78" s="72"/>
      <c r="I78" s="73"/>
      <c r="J78" s="73"/>
      <c r="K78" s="73"/>
      <c r="L78" s="73"/>
      <c r="M78" s="73"/>
      <c r="N78" s="99"/>
    </row>
    <row r="79" spans="3:14"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137">
        <f>SUM(N76:N77)</f>
        <v>0</v>
      </c>
    </row>
    <row r="80" spans="3:14">
      <c r="G80" s="606"/>
      <c r="H80" s="606"/>
    </row>
    <row r="83" spans="3:3">
      <c r="C83" s="91" t="s">
        <v>141</v>
      </c>
    </row>
    <row r="84" spans="3:3">
      <c r="C84" t="s">
        <v>66</v>
      </c>
    </row>
    <row r="85" spans="3:3">
      <c r="C85" s="91"/>
    </row>
  </sheetData>
  <mergeCells count="12">
    <mergeCell ref="G80:H80"/>
    <mergeCell ref="A6:N6"/>
    <mergeCell ref="C7:D7"/>
    <mergeCell ref="M7:O7"/>
    <mergeCell ref="C8:D8"/>
    <mergeCell ref="M8:O8"/>
    <mergeCell ref="G33:H33"/>
    <mergeCell ref="G35:H35"/>
    <mergeCell ref="G37:H37"/>
    <mergeCell ref="G39:H39"/>
    <mergeCell ref="G40:H40"/>
    <mergeCell ref="B42:N42"/>
  </mergeCells>
  <conditionalFormatting sqref="C76:F78 I77">
    <cfRule type="expression" dxfId="38" priority="13">
      <formula>ISNUMBER(SEARCH(TEXT($C76,"ddd"),$G$11))</formula>
    </cfRule>
  </conditionalFormatting>
  <conditionalFormatting sqref="C17:H31">
    <cfRule type="expression" dxfId="37" priority="2">
      <formula>ISNUMBER(SEARCH(TEXT($C17,"ddd"),$G$11))</formula>
    </cfRule>
  </conditionalFormatting>
  <conditionalFormatting sqref="C32:L32 C52:N53">
    <cfRule type="expression" dxfId="36" priority="14">
      <formula>ISNUMBER(SEARCH(TEXT($C32,"ddd"),$G$11))</formula>
    </cfRule>
  </conditionalFormatting>
  <conditionalFormatting sqref="G76:H77">
    <cfRule type="expression" dxfId="35" priority="7">
      <formula>ISNUMBER(SEARCH(TEXT($C76,"ddd"),$G$11))</formula>
    </cfRule>
  </conditionalFormatting>
  <conditionalFormatting sqref="G78:I78">
    <cfRule type="expression" dxfId="34" priority="9">
      <formula>ISNUMBER(SEARCH(TEXT($C78,"ddd"),$G$11))</formula>
    </cfRule>
  </conditionalFormatting>
  <conditionalFormatting sqref="I17:K24">
    <cfRule type="expression" dxfId="33" priority="5">
      <formula>ISNUMBER(SEARCH(TEXT($C17,"ddd"),$G$11))</formula>
    </cfRule>
  </conditionalFormatting>
  <conditionalFormatting sqref="I25:L31">
    <cfRule type="expression" dxfId="32" priority="4">
      <formula>ISNUMBER(SEARCH(TEXT($C25,"ddd"),$G$11))</formula>
    </cfRule>
  </conditionalFormatting>
  <conditionalFormatting sqref="I76:L76">
    <cfRule type="expression" dxfId="31" priority="11">
      <formula>ISNUMBER(SEARCH(TEXT($C76,"ddd"),$G$11))</formula>
    </cfRule>
  </conditionalFormatting>
  <conditionalFormatting sqref="J77:M78">
    <cfRule type="expression" dxfId="30" priority="12">
      <formula>ISNUMBER(SEARCH(TEXT($C77,"ddd"),$G$11))</formula>
    </cfRule>
  </conditionalFormatting>
  <conditionalFormatting sqref="L20">
    <cfRule type="expression" dxfId="29" priority="1">
      <formula>ISNUMBER(SEARCH(TEXT($C20,"ddd"),$G$11))</formula>
    </cfRule>
  </conditionalFormatting>
  <conditionalFormatting sqref="N17:N32">
    <cfRule type="expression" dxfId="28" priority="10">
      <formula>ISNUMBER(SEARCH(TEXT($C17,"ddd"),$G$11))</formula>
    </cfRule>
  </conditionalFormatting>
  <conditionalFormatting sqref="N76:N78">
    <cfRule type="expression" dxfId="27" priority="8">
      <formula>ISNUMBER(SEARCH(TEXT($C76,"ddd"),$G$11))</formula>
    </cfRule>
  </conditionalFormatting>
  <dataValidations count="5">
    <dataValidation type="list" allowBlank="1" showInputMessage="1" showErrorMessage="1" sqref="D11 H46" xr:uid="{00000000-0002-0000-3200-000000000000}">
      <formula1>DateCalc</formula1>
    </dataValidation>
    <dataValidation type="list" allowBlank="1" showInputMessage="1" showErrorMessage="1" sqref="H69 E11:F11" xr:uid="{00000000-0002-0000-3200-000001000000}">
      <formula1>LEAL!DateCalc</formula1>
    </dataValidation>
    <dataValidation type="custom" allowBlank="1" showInputMessage="1" showErrorMessage="1" sqref="G76:G78 G32 G52:G53 E17:G31" xr:uid="{00000000-0002-0000-3200-000002000000}">
      <formula1>AND($G17&lt;=1,ISNUMBER($G17))</formula1>
    </dataValidation>
    <dataValidation type="custom" allowBlank="1" showInputMessage="1" showErrorMessage="1" sqref="H76:H78 H52:H53 H17:H32" xr:uid="{00000000-0002-0000-3200-000003000000}">
      <formula1>AND($H17&lt;=1,ISNUMBER($H17),($H17&gt;=$G17))</formula1>
    </dataValidation>
    <dataValidation type="list" allowBlank="1" showInputMessage="1" showErrorMessage="1" sqref="I69 G11 D69:G69" xr:uid="{00000000-0002-0000-3200-000007000000}"/>
  </dataValidations>
  <pageMargins left="1.07083333333333" right="0.25" top="0.359722222222222" bottom="0.39791666666666697" header="0.29861111111111099" footer="0.29861111111111099"/>
  <pageSetup paperSize="9" scale="91" orientation="landscape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80929" r:id="rId4" name="Check Box 1">
              <controlPr defaultSize="0" print="0" autoPict="0">
                <anchor moveWithCells="1">
                  <from>
                    <xdr:col>7</xdr:col>
                    <xdr:colOff>180975</xdr:colOff>
                    <xdr:row>9</xdr:row>
                    <xdr:rowOff>28575</xdr:rowOff>
                  </from>
                  <to>
                    <xdr:col>8</xdr:col>
                    <xdr:colOff>571500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3200-000004000000}">
          <x14:formula1>
            <xm:f>Data!$D$2:$D$16</xm:f>
          </x14:formula1>
          <xm:sqref>I46</xm:sqref>
        </x14:dataValidation>
        <x14:dataValidation type="list" allowBlank="1" showInputMessage="1" showErrorMessage="1" xr:uid="{00000000-0002-0000-3200-000005000000}">
          <x14:formula1>
            <xm:f>Data!$A$2:$A$12</xm:f>
          </x14:formula1>
          <xm:sqref>B11 D46:F46</xm:sqref>
        </x14:dataValidation>
        <x14:dataValidation type="list" allowBlank="1" showInputMessage="1" showErrorMessage="1" xr:uid="{00000000-0002-0000-3200-000006000000}">
          <x14:formula1>
            <xm:f>Data!$B$2:$B$13</xm:f>
          </x14:formula1>
          <xm:sqref>C11 G46</xm:sqref>
        </x14:dataValidation>
      </x14:dataValidation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B6:AH75"/>
  <sheetViews>
    <sheetView showGridLines="0" view="pageLayout" topLeftCell="A44" zoomScaleNormal="100" workbookViewId="0">
      <selection activeCell="N35" sqref="N35"/>
    </sheetView>
  </sheetViews>
  <sheetFormatPr defaultColWidth="9" defaultRowHeight="12.75"/>
  <cols>
    <col min="1" max="1" width="1.625" customWidth="1"/>
    <col min="2" max="2" width="5.375" customWidth="1"/>
    <col min="3" max="3" width="7.125" customWidth="1"/>
    <col min="4" max="5" width="7.625" customWidth="1"/>
    <col min="6" max="6" width="12.625" customWidth="1"/>
    <col min="7" max="7" width="10.125" customWidth="1"/>
    <col min="8" max="8" width="9.625" customWidth="1"/>
    <col min="9" max="9" width="8.125" customWidth="1"/>
    <col min="10" max="10" width="10.125" customWidth="1"/>
    <col min="11" max="11" width="7.875" customWidth="1"/>
    <col min="12" max="12" width="11.125" customWidth="1"/>
    <col min="13" max="14" width="10.875" customWidth="1"/>
    <col min="15" max="15" width="16.875" customWidth="1"/>
  </cols>
  <sheetData>
    <row r="6" spans="2:14" ht="25.5" customHeight="1"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</row>
    <row r="7" spans="2:14" ht="18.75" customHeight="1">
      <c r="C7" s="527" t="s">
        <v>3</v>
      </c>
      <c r="D7" s="527"/>
      <c r="E7" s="49"/>
      <c r="F7" s="49"/>
      <c r="G7" s="50" t="s">
        <v>200</v>
      </c>
      <c r="H7" s="51"/>
      <c r="J7" s="49" t="s">
        <v>174</v>
      </c>
      <c r="L7" s="599" t="str">
        <f>PAALAN!L7</f>
        <v>September  11-25, 2026</v>
      </c>
      <c r="M7" s="599"/>
      <c r="N7" s="599"/>
    </row>
    <row r="8" spans="2:14" ht="18.75" customHeight="1">
      <c r="C8" s="527" t="s">
        <v>175</v>
      </c>
      <c r="D8" s="527"/>
      <c r="E8" s="49"/>
      <c r="F8" s="49"/>
      <c r="G8" s="50" t="s">
        <v>310</v>
      </c>
      <c r="H8" s="51"/>
      <c r="J8" s="49" t="s">
        <v>176</v>
      </c>
      <c r="L8" s="600" t="str">
        <f>PAALAN!L8</f>
        <v>9/31/2026</v>
      </c>
      <c r="M8" s="600"/>
      <c r="N8" s="600"/>
    </row>
    <row r="9" spans="2:14">
      <c r="C9" s="52"/>
      <c r="D9" s="53"/>
      <c r="E9" s="53"/>
      <c r="F9" s="53"/>
      <c r="G9" s="53"/>
    </row>
    <row r="10" spans="2:14">
      <c r="B10" s="54" t="s">
        <v>10</v>
      </c>
      <c r="C10" s="54" t="s">
        <v>11</v>
      </c>
      <c r="D10" s="54" t="s">
        <v>12</v>
      </c>
      <c r="E10" s="54"/>
      <c r="F10" s="54"/>
      <c r="G10" s="55" t="s">
        <v>13</v>
      </c>
    </row>
    <row r="11" spans="2:14">
      <c r="B11" s="56">
        <v>2024</v>
      </c>
      <c r="C11" s="56" t="s">
        <v>204</v>
      </c>
      <c r="D11" s="56">
        <v>11</v>
      </c>
      <c r="E11" s="56"/>
      <c r="F11" s="56"/>
      <c r="G11" s="56" t="s">
        <v>178</v>
      </c>
    </row>
    <row r="12" spans="2:14">
      <c r="B12" s="57"/>
      <c r="C12" s="57"/>
      <c r="H12" s="57"/>
      <c r="K12" s="57"/>
      <c r="L12" s="57"/>
      <c r="M12" s="57"/>
    </row>
    <row r="13" spans="2:14" ht="32.1" customHeight="1">
      <c r="B13" s="58" t="s">
        <v>16</v>
      </c>
      <c r="C13" s="58" t="s">
        <v>17</v>
      </c>
      <c r="D13" s="58" t="s">
        <v>18</v>
      </c>
      <c r="E13" s="59"/>
      <c r="F13" s="59"/>
      <c r="G13" s="59" t="s">
        <v>19</v>
      </c>
      <c r="H13" s="60" t="s">
        <v>179</v>
      </c>
      <c r="L13" s="93"/>
      <c r="M13" s="93"/>
      <c r="N13" s="94"/>
    </row>
    <row r="14" spans="2:14">
      <c r="B14" s="61">
        <v>0.33333333333333298</v>
      </c>
      <c r="C14" s="62">
        <v>10</v>
      </c>
      <c r="D14" s="63">
        <f>(17040/26)/8</f>
        <v>81.92307692307692</v>
      </c>
      <c r="E14" s="142"/>
      <c r="F14" s="142"/>
      <c r="G14" s="64">
        <v>0</v>
      </c>
      <c r="H14" s="65">
        <v>104</v>
      </c>
      <c r="L14" s="57"/>
      <c r="M14" s="57"/>
      <c r="N14" s="95"/>
    </row>
    <row r="15" spans="2:14">
      <c r="N15" s="96"/>
    </row>
    <row r="16" spans="2:14" ht="23.25">
      <c r="B16" s="66"/>
      <c r="C16" s="67" t="s">
        <v>20</v>
      </c>
      <c r="D16" s="67" t="s">
        <v>12</v>
      </c>
      <c r="E16" s="67" t="s">
        <v>21</v>
      </c>
      <c r="F16" s="68" t="s">
        <v>201</v>
      </c>
      <c r="G16" s="67" t="s">
        <v>21</v>
      </c>
      <c r="H16" s="67" t="s">
        <v>22</v>
      </c>
      <c r="I16" s="68" t="s">
        <v>23</v>
      </c>
      <c r="J16" s="68" t="s">
        <v>24</v>
      </c>
      <c r="K16" s="68" t="s">
        <v>25</v>
      </c>
      <c r="L16" s="67" t="s">
        <v>180</v>
      </c>
      <c r="M16" s="134" t="s">
        <v>181</v>
      </c>
      <c r="N16" s="67" t="s">
        <v>26</v>
      </c>
    </row>
    <row r="17" spans="2:34">
      <c r="B17" s="69">
        <v>1</v>
      </c>
      <c r="C17" s="70">
        <f>DATE($B$11,MATCH($C$11,Data!$B$2:$B$13,0),COMOSO!$D$11)</f>
        <v>45454</v>
      </c>
      <c r="D17" s="71">
        <f>DATE($B$11,MATCH($C$11,Data!$B$2:$B$13,0),COMOSO!$D$11)</f>
        <v>45454</v>
      </c>
      <c r="E17" s="72">
        <v>0.39027777777777778</v>
      </c>
      <c r="F17" s="72">
        <v>6.9444444444444441E-3</v>
      </c>
      <c r="G17" s="72">
        <f t="shared" ref="G17:G18" si="0">E17-F17</f>
        <v>0.38333333333333336</v>
      </c>
      <c r="H17" s="72">
        <v>0.75</v>
      </c>
      <c r="I17" s="73">
        <v>1</v>
      </c>
      <c r="J17" s="73">
        <f t="shared" ref="J17:J18" si="1">IFERROR(IF(AND(G17&lt;&gt;"",H17&lt;&gt;""),IF(G17&gt;$B$14+TIME($C$14,($C$14-INT($C$14))*60,0),0,IF(H17&gt;$B$14+TIME($C$14,($C$14-INT($C$14))*60,0),MIN(TIME($C$14,($C$14-INT($C$14))*60,0),($B$14+TIME($C$14,($C$14-INT($C$14))*60,0)-G17)),MIN(IF((H17-$B$14)&lt;0,0,(H17-$B$14)),(H17-G17))))*24,"")-I17,"")</f>
        <v>7.7999999999999989</v>
      </c>
      <c r="K17" s="73">
        <v>0</v>
      </c>
      <c r="L17" s="101">
        <v>9.0277777777777787E-3</v>
      </c>
      <c r="M17" s="102">
        <f>(D14/60)*0</f>
        <v>0</v>
      </c>
      <c r="N17" s="99">
        <f>IFERROR(J17*IF(AND(ISNUMBER(SEARCH(TEXT(C17,"ddd"),$G$11)),Data!$F$2),$G$14,$D$14)+K17*$G$14,"")</f>
        <v>638.99999999999989</v>
      </c>
      <c r="O17" s="141">
        <f t="shared" ref="O17:O31" si="2">M17+N17</f>
        <v>638.99999999999989</v>
      </c>
      <c r="P17" s="89"/>
      <c r="Q17" s="89"/>
    </row>
    <row r="18" spans="2:34">
      <c r="B18" s="69">
        <v>2</v>
      </c>
      <c r="C18" s="70">
        <f t="shared" ref="C18:C31" si="3">C17+1</f>
        <v>45455</v>
      </c>
      <c r="D18" s="71">
        <f t="shared" ref="D18:D31" si="4">D17+1</f>
        <v>45455</v>
      </c>
      <c r="E18" s="72">
        <v>0</v>
      </c>
      <c r="F18" s="72">
        <v>0</v>
      </c>
      <c r="G18" s="72">
        <f t="shared" si="0"/>
        <v>0</v>
      </c>
      <c r="H18" s="72">
        <v>0</v>
      </c>
      <c r="I18" s="73">
        <v>0</v>
      </c>
      <c r="J18" s="73">
        <f t="shared" si="1"/>
        <v>0</v>
      </c>
      <c r="K18" s="73">
        <v>0</v>
      </c>
      <c r="L18" s="101">
        <v>0</v>
      </c>
      <c r="M18" s="102">
        <f>(D14/60)*0</f>
        <v>0</v>
      </c>
      <c r="N18" s="99">
        <f>IFERROR(J18*IF(AND(ISNUMBER(SEARCH(TEXT(C18,"ddd"),$G$11)),Data!$F$2),$G$14,$D$14)+K18*$G$14,"")</f>
        <v>0</v>
      </c>
      <c r="O18" s="141">
        <f t="shared" si="2"/>
        <v>0</v>
      </c>
      <c r="P18" s="89"/>
      <c r="Q18" s="89"/>
    </row>
    <row r="19" spans="2:34">
      <c r="B19" s="69">
        <v>3</v>
      </c>
      <c r="C19" s="70">
        <f t="shared" si="3"/>
        <v>45456</v>
      </c>
      <c r="D19" s="71">
        <f t="shared" si="4"/>
        <v>45456</v>
      </c>
      <c r="E19" s="72">
        <v>0.44166666666666665</v>
      </c>
      <c r="F19" s="72">
        <v>6.9444444444444441E-3</v>
      </c>
      <c r="G19" s="72">
        <f t="shared" ref="G19:G27" si="5">E19-F19</f>
        <v>0.43472222222222223</v>
      </c>
      <c r="H19" s="72">
        <v>0.75</v>
      </c>
      <c r="I19" s="73">
        <v>1</v>
      </c>
      <c r="J19" s="73">
        <f t="shared" ref="J19:J29" si="6">IFERROR(IF(AND(G19&lt;&gt;"",H19&lt;&gt;""),IF(G19&gt;$B$14+TIME($C$14,($C$14-INT($C$14))*60,0),0,IF(H19&gt;$B$14+TIME($C$14,($C$14-INT($C$14))*60,0),MIN(TIME($C$14,($C$14-INT($C$14))*60,0),($B$14+TIME($C$14,($C$14-INT($C$14))*60,0)-G19)),MIN(IF((H19-$B$14)&lt;0,0,(H19-$B$14)),(H19-G19))))*24,"")-I19,"")</f>
        <v>6.5666666666666664</v>
      </c>
      <c r="K19" s="73">
        <v>0</v>
      </c>
      <c r="L19" s="101">
        <f>G19-B14</f>
        <v>0.10138888888888925</v>
      </c>
      <c r="M19" s="102">
        <f>(D14/60)*0</f>
        <v>0</v>
      </c>
      <c r="N19" s="99">
        <f>IFERROR(J19*IF(AND(ISNUMBER(SEARCH(TEXT(C19,"ddd"),$G$11)),Data!$F$2),$G$14,$D$14)+K19*$G$14,"")</f>
        <v>537.96153846153845</v>
      </c>
      <c r="O19" s="150"/>
      <c r="P19" s="104"/>
      <c r="Q19" s="104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</row>
    <row r="20" spans="2:34">
      <c r="B20" s="69">
        <v>4</v>
      </c>
      <c r="C20" s="70">
        <f t="shared" si="3"/>
        <v>45457</v>
      </c>
      <c r="D20" s="71">
        <f t="shared" si="4"/>
        <v>45457</v>
      </c>
      <c r="E20" s="72">
        <v>0.39374999999999999</v>
      </c>
      <c r="F20" s="72">
        <v>6.9444444444444441E-3</v>
      </c>
      <c r="G20" s="72">
        <f t="shared" si="5"/>
        <v>0.38680555555555557</v>
      </c>
      <c r="H20" s="72">
        <v>0.75</v>
      </c>
      <c r="I20" s="73">
        <v>1</v>
      </c>
      <c r="J20" s="73">
        <f t="shared" si="6"/>
        <v>7.7166666666666668</v>
      </c>
      <c r="K20" s="73">
        <v>0</v>
      </c>
      <c r="L20" s="101">
        <v>0</v>
      </c>
      <c r="M20" s="102">
        <v>0</v>
      </c>
      <c r="N20" s="99">
        <f>IFERROR(J20*IF(AND(ISNUMBER(SEARCH(TEXT(C20,"ddd"),$G$11)),Data!$F$2),$G$14,$D$14)+K20*$G$14,"")</f>
        <v>632.17307692307691</v>
      </c>
      <c r="O20" s="150">
        <v>615.36</v>
      </c>
      <c r="P20" s="103"/>
      <c r="Q20" s="103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28"/>
    </row>
    <row r="21" spans="2:34">
      <c r="B21" s="69">
        <v>5</v>
      </c>
      <c r="C21" s="70">
        <f t="shared" si="3"/>
        <v>45458</v>
      </c>
      <c r="D21" s="71">
        <f t="shared" si="4"/>
        <v>45458</v>
      </c>
      <c r="E21" s="72">
        <v>0.41944444444444445</v>
      </c>
      <c r="F21" s="72">
        <v>6.9444444444444441E-3</v>
      </c>
      <c r="G21" s="72">
        <f t="shared" ref="G21" si="7">E21-F21</f>
        <v>0.41250000000000003</v>
      </c>
      <c r="H21" s="72">
        <v>0.75</v>
      </c>
      <c r="I21" s="73">
        <v>1</v>
      </c>
      <c r="J21" s="73">
        <f t="shared" ref="J21" si="8">IFERROR(IF(AND(G21&lt;&gt;"",H21&lt;&gt;""),IF(G21&gt;$B$14+TIME($C$14,($C$14-INT($C$14))*60,0),0,IF(H21&gt;$B$14+TIME($C$14,($C$14-INT($C$14))*60,0),MIN(TIME($C$14,($C$14-INT($C$14))*60,0),($B$14+TIME($C$14,($C$14-INT($C$14))*60,0)-G21)),MIN(IF((H21-$B$14)&lt;0,0,(H21-$B$14)),(H21-G21))))*24,"")-I21,"")</f>
        <v>7.1</v>
      </c>
      <c r="K21" s="73">
        <v>0</v>
      </c>
      <c r="L21" s="101">
        <f>G21-B14</f>
        <v>7.9166666666667052E-2</v>
      </c>
      <c r="M21" s="102">
        <v>0</v>
      </c>
      <c r="N21" s="99">
        <f>IFERROR(J21*IF(AND(ISNUMBER(SEARCH(TEXT(C21,"ddd"),$G$11)),Data!$F$2),$G$14,$D$14)+K21*$G$14,"")</f>
        <v>581.65384615384608</v>
      </c>
      <c r="O21" s="141">
        <f t="shared" si="2"/>
        <v>581.65384615384608</v>
      </c>
      <c r="P21" s="108"/>
      <c r="Q21" s="108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4"/>
    </row>
    <row r="22" spans="2:34">
      <c r="B22" s="69"/>
      <c r="C22" s="70">
        <f t="shared" si="3"/>
        <v>45459</v>
      </c>
      <c r="D22" s="71">
        <f t="shared" si="4"/>
        <v>45459</v>
      </c>
      <c r="E22" s="72">
        <v>0</v>
      </c>
      <c r="F22" s="72">
        <v>0</v>
      </c>
      <c r="G22" s="72">
        <f t="shared" si="5"/>
        <v>0</v>
      </c>
      <c r="H22" s="72">
        <v>0</v>
      </c>
      <c r="I22" s="73">
        <v>0</v>
      </c>
      <c r="J22" s="73">
        <f t="shared" si="6"/>
        <v>0</v>
      </c>
      <c r="K22" s="73">
        <v>0</v>
      </c>
      <c r="L22" s="110">
        <v>0</v>
      </c>
      <c r="M22" s="98">
        <v>0</v>
      </c>
      <c r="N22" s="99">
        <f>IFERROR(J22*IF(AND(ISNUMBER(SEARCH(TEXT(C22,"ddd"),$G$11)),Data!$F$2),$G$14,$D$14)+K22*$G$14,"")</f>
        <v>0</v>
      </c>
      <c r="O22" s="141">
        <f t="shared" si="2"/>
        <v>0</v>
      </c>
      <c r="P22" s="156"/>
      <c r="Q22" s="156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4"/>
    </row>
    <row r="23" spans="2:34">
      <c r="B23" s="69">
        <v>6</v>
      </c>
      <c r="C23" s="70">
        <f t="shared" si="3"/>
        <v>45460</v>
      </c>
      <c r="D23" s="71">
        <f t="shared" si="4"/>
        <v>45460</v>
      </c>
      <c r="E23" s="72">
        <v>0</v>
      </c>
      <c r="F23" s="72">
        <v>0</v>
      </c>
      <c r="G23" s="72">
        <f t="shared" si="5"/>
        <v>0</v>
      </c>
      <c r="H23" s="72">
        <v>0</v>
      </c>
      <c r="I23" s="73">
        <v>0</v>
      </c>
      <c r="J23" s="73">
        <f t="shared" si="6"/>
        <v>0</v>
      </c>
      <c r="K23" s="73">
        <v>0</v>
      </c>
      <c r="L23" s="110">
        <v>0</v>
      </c>
      <c r="M23" s="102">
        <f>(D14/60)*0</f>
        <v>0</v>
      </c>
      <c r="N23" s="111">
        <f>IFERROR(J23*IF(AND(ISNUMBER(SEARCH(TEXT(C23,"ddd"),$G$11)),Data!$F$2),$G$14,$D$14)+K23*$G$14,"")</f>
        <v>0</v>
      </c>
      <c r="O23" s="141">
        <f t="shared" si="2"/>
        <v>0</v>
      </c>
      <c r="P23" s="150"/>
      <c r="Q23" s="89"/>
    </row>
    <row r="24" spans="2:34">
      <c r="B24" s="69">
        <v>7</v>
      </c>
      <c r="C24" s="70">
        <f t="shared" si="3"/>
        <v>45461</v>
      </c>
      <c r="D24" s="71">
        <f t="shared" si="4"/>
        <v>45461</v>
      </c>
      <c r="E24" s="72">
        <v>0.38541666666666669</v>
      </c>
      <c r="F24" s="72">
        <v>6.9444444444444441E-3</v>
      </c>
      <c r="G24" s="72">
        <f t="shared" ref="G24" si="9">E24-F24</f>
        <v>0.37847222222222227</v>
      </c>
      <c r="H24" s="72">
        <v>0.75</v>
      </c>
      <c r="I24" s="73">
        <v>1</v>
      </c>
      <c r="J24" s="73">
        <f t="shared" ref="J24" si="10">IFERROR(IF(AND(G24&lt;&gt;"",H24&lt;&gt;""),IF(G24&gt;$B$14+TIME($C$14,($C$14-INT($C$14))*60,0),0,IF(H24&gt;$B$14+TIME($C$14,($C$14-INT($C$14))*60,0),MIN(TIME($C$14,($C$14-INT($C$14))*60,0),($B$14+TIME($C$14,($C$14-INT($C$14))*60,0)-G24)),MIN(IF((H24-$B$14)&lt;0,0,(H24-$B$14)),(H24-G24))))*24,"")-I24,"")</f>
        <v>7.9166666666666661</v>
      </c>
      <c r="K24" s="73">
        <v>0</v>
      </c>
      <c r="L24" s="110">
        <v>9.0277777777777787E-3</v>
      </c>
      <c r="M24" s="102">
        <f>(D14/60)*0</f>
        <v>0</v>
      </c>
      <c r="N24" s="99">
        <f>IFERROR(J24*IF(AND(ISNUMBER(SEARCH(TEXT(C24,"ddd"),$G$11)),Data!$F$2),$G$14,$D$14)+K24*$G$14,"")</f>
        <v>648.55769230769226</v>
      </c>
      <c r="O24" s="141">
        <f t="shared" si="2"/>
        <v>648.55769230769226</v>
      </c>
      <c r="P24" s="89"/>
      <c r="Q24" s="89"/>
    </row>
    <row r="25" spans="2:34">
      <c r="B25" s="69">
        <v>8</v>
      </c>
      <c r="C25" s="70">
        <f t="shared" si="3"/>
        <v>45462</v>
      </c>
      <c r="D25" s="71">
        <f t="shared" si="4"/>
        <v>45462</v>
      </c>
      <c r="E25" s="72">
        <v>0.39097222222222222</v>
      </c>
      <c r="F25" s="72">
        <v>0</v>
      </c>
      <c r="G25" s="72">
        <f t="shared" si="5"/>
        <v>0.39097222222222222</v>
      </c>
      <c r="H25" s="72">
        <v>0.75</v>
      </c>
      <c r="I25" s="73">
        <v>1</v>
      </c>
      <c r="J25" s="73">
        <f t="shared" si="6"/>
        <v>7.6166666666666671</v>
      </c>
      <c r="K25" s="73">
        <v>0</v>
      </c>
      <c r="L25" s="110">
        <v>0</v>
      </c>
      <c r="M25" s="102">
        <f>(D14/60)*0</f>
        <v>0</v>
      </c>
      <c r="N25" s="111">
        <f>IFERROR(J25*IF(AND(ISNUMBER(SEARCH(TEXT(C25,"ddd"),$G$11)),Data!$F$2),$G$14,$D$14)+K25*$G$14,"")</f>
        <v>623.98076923076928</v>
      </c>
      <c r="O25" s="141">
        <f t="shared" si="2"/>
        <v>623.98076923076928</v>
      </c>
      <c r="P25" s="89"/>
      <c r="Q25" s="89"/>
    </row>
    <row r="26" spans="2:34">
      <c r="B26" s="69">
        <v>9</v>
      </c>
      <c r="C26" s="70">
        <f t="shared" si="3"/>
        <v>45463</v>
      </c>
      <c r="D26" s="71">
        <f t="shared" si="4"/>
        <v>45463</v>
      </c>
      <c r="E26" s="72">
        <v>0.40069444444444446</v>
      </c>
      <c r="F26" s="72">
        <v>6.9444444444444441E-3</v>
      </c>
      <c r="G26" s="72">
        <f t="shared" si="5"/>
        <v>0.39375000000000004</v>
      </c>
      <c r="H26" s="72">
        <v>0.75</v>
      </c>
      <c r="I26" s="73">
        <v>1</v>
      </c>
      <c r="J26" s="73">
        <f t="shared" si="6"/>
        <v>7.5499999999999989</v>
      </c>
      <c r="K26" s="73">
        <v>0</v>
      </c>
      <c r="L26" s="110">
        <f>G26-B14</f>
        <v>6.0416666666667063E-2</v>
      </c>
      <c r="M26" s="102">
        <v>0</v>
      </c>
      <c r="N26" s="111">
        <f>IFERROR(J26*IF(AND(ISNUMBER(SEARCH(TEXT(C26,"ddd"),$G$11)),Data!$F$2),$G$14,$D$14)+K26*$G$14,"")</f>
        <v>618.5192307692306</v>
      </c>
      <c r="O26" s="141">
        <f t="shared" si="2"/>
        <v>618.5192307692306</v>
      </c>
      <c r="P26" s="89"/>
      <c r="Q26" s="89"/>
    </row>
    <row r="27" spans="2:34">
      <c r="B27" s="69">
        <v>10</v>
      </c>
      <c r="C27" s="70">
        <f t="shared" si="3"/>
        <v>45464</v>
      </c>
      <c r="D27" s="71">
        <f t="shared" si="4"/>
        <v>45464</v>
      </c>
      <c r="E27" s="72">
        <v>0.54861111111111105</v>
      </c>
      <c r="F27" s="72">
        <v>6.9444444444444441E-3</v>
      </c>
      <c r="G27" s="72">
        <f t="shared" si="5"/>
        <v>0.54166666666666663</v>
      </c>
      <c r="H27" s="72">
        <v>0.75</v>
      </c>
      <c r="I27" s="73">
        <v>0</v>
      </c>
      <c r="J27" s="73">
        <f t="shared" si="6"/>
        <v>5.0000000000000009</v>
      </c>
      <c r="K27" s="73">
        <v>0</v>
      </c>
      <c r="L27" s="110">
        <v>0.16666666666666666</v>
      </c>
      <c r="M27" s="102">
        <f>(D14/60)*240</f>
        <v>327.69230769230768</v>
      </c>
      <c r="N27" s="111">
        <f>IFERROR(J27*IF(AND(ISNUMBER(SEARCH(TEXT(C27,"ddd"),$G$11)),Data!$F$2),$G$14,$D$14)+K27*$G$14,"")</f>
        <v>409.6153846153847</v>
      </c>
      <c r="O27" s="141">
        <f t="shared" si="2"/>
        <v>737.30769230769238</v>
      </c>
    </row>
    <row r="28" spans="2:34">
      <c r="B28" s="69">
        <v>11</v>
      </c>
      <c r="C28" s="70">
        <f t="shared" si="3"/>
        <v>45465</v>
      </c>
      <c r="D28" s="71">
        <f t="shared" si="4"/>
        <v>45465</v>
      </c>
      <c r="E28" s="72">
        <v>0.40902777777777777</v>
      </c>
      <c r="F28" s="72">
        <v>6.9444444444444441E-3</v>
      </c>
      <c r="G28" s="72">
        <f t="shared" ref="G28" si="11">E28-F28</f>
        <v>0.40208333333333335</v>
      </c>
      <c r="H28" s="72">
        <v>0.75</v>
      </c>
      <c r="I28" s="73">
        <v>0</v>
      </c>
      <c r="J28" s="73">
        <f t="shared" ref="J28" si="12">IFERROR(IF(AND(G28&lt;&gt;"",H28&lt;&gt;""),IF(G28&gt;$B$14+TIME($C$14,($C$14-INT($C$14))*60,0),0,IF(H28&gt;$B$14+TIME($C$14,($C$14-INT($C$14))*60,0),MIN(TIME($C$14,($C$14-INT($C$14))*60,0),($B$14+TIME($C$14,($C$14-INT($C$14))*60,0)-G28)),MIN(IF((H28-$B$14)&lt;0,0,(H28-$B$14)),(H28-G28))))*24,"")-I28,"")</f>
        <v>8.35</v>
      </c>
      <c r="K28" s="73">
        <v>0</v>
      </c>
      <c r="L28" s="110">
        <f>G28-B14</f>
        <v>6.8750000000000366E-2</v>
      </c>
      <c r="M28" s="102">
        <v>0</v>
      </c>
      <c r="N28" s="99">
        <f>IFERROR(J28*IF(AND(ISNUMBER(SEARCH(TEXT(C28,"ddd"),$G$11)),Data!$F$2),$G$14,$D$14)+K28*$G$14,"")</f>
        <v>684.05769230769226</v>
      </c>
      <c r="O28" s="141">
        <f t="shared" si="2"/>
        <v>684.05769230769226</v>
      </c>
    </row>
    <row r="29" spans="2:34">
      <c r="B29" s="69"/>
      <c r="C29" s="70">
        <f t="shared" si="3"/>
        <v>45466</v>
      </c>
      <c r="D29" s="71">
        <f t="shared" si="4"/>
        <v>45466</v>
      </c>
      <c r="E29" s="72">
        <v>0</v>
      </c>
      <c r="F29" s="72">
        <v>0</v>
      </c>
      <c r="G29" s="72">
        <f t="shared" ref="G29" si="13">E29-F29</f>
        <v>0</v>
      </c>
      <c r="H29" s="72">
        <v>0</v>
      </c>
      <c r="I29" s="73">
        <v>0</v>
      </c>
      <c r="J29" s="73">
        <f t="shared" si="6"/>
        <v>0</v>
      </c>
      <c r="K29" s="73">
        <v>0</v>
      </c>
      <c r="L29" s="110">
        <v>0</v>
      </c>
      <c r="M29" s="98">
        <v>0</v>
      </c>
      <c r="N29" s="251">
        <f>IFERROR(J29*IF(AND(ISNUMBER(SEARCH(TEXT(C29,"ddd"),$G$11)),Data!$F$2),$D$14,$D$14)+K29*$G$14,"")</f>
        <v>0</v>
      </c>
      <c r="O29" s="141">
        <f t="shared" si="2"/>
        <v>0</v>
      </c>
    </row>
    <row r="30" spans="2:34">
      <c r="B30" s="69">
        <v>12</v>
      </c>
      <c r="C30" s="70">
        <f t="shared" si="3"/>
        <v>45467</v>
      </c>
      <c r="D30" s="71">
        <f t="shared" si="4"/>
        <v>45467</v>
      </c>
      <c r="E30" s="72">
        <v>0.39861111111111108</v>
      </c>
      <c r="F30" s="72">
        <v>6.9444444444444441E-3</v>
      </c>
      <c r="G30" s="72">
        <f>E30-F30</f>
        <v>0.39166666666666666</v>
      </c>
      <c r="H30" s="72">
        <v>0.75</v>
      </c>
      <c r="I30" s="73">
        <v>1</v>
      </c>
      <c r="J30" s="73">
        <f>IFERROR(IF(AND(G30&lt;&gt;"",H30&lt;&gt;""),IF(G30&gt;$B$14+TIME($C$14,($C$14-INT($C$14))*60,0),0,IF(H30&gt;$B$14+TIME($C$14,($C$14-INT($C$14))*60,0),MIN(TIME($C$14,($C$14-INT($C$14))*60,0),($B$14+TIME($C$14,($C$14-INT($C$14))*60,0)-G30)),MIN(IF((H30-$B$14)&lt;0,0,(H30-$B$14)),(H30-G30))))*24,"")-I30,"")</f>
        <v>7.6</v>
      </c>
      <c r="K30" s="73">
        <v>0</v>
      </c>
      <c r="L30" s="110">
        <f>G30-B14</f>
        <v>5.8333333333333681E-2</v>
      </c>
      <c r="M30" s="102">
        <v>0</v>
      </c>
      <c r="N30" s="99">
        <f>IFERROR(J30*IF(AND(ISNUMBER(SEARCH(TEXT(C30,"ddd"),$G$11)),Data!$F$2),$G$14,$D$14)+K30*$G$14,"")</f>
        <v>622.61538461538453</v>
      </c>
      <c r="O30" s="141">
        <f t="shared" si="2"/>
        <v>622.61538461538453</v>
      </c>
    </row>
    <row r="31" spans="2:34">
      <c r="B31" s="69">
        <v>13</v>
      </c>
      <c r="C31" s="70">
        <f t="shared" si="3"/>
        <v>45468</v>
      </c>
      <c r="D31" s="71">
        <f t="shared" si="4"/>
        <v>45468</v>
      </c>
      <c r="E31" s="72">
        <v>0.40416666666666662</v>
      </c>
      <c r="F31" s="72">
        <v>6.9444444444444441E-3</v>
      </c>
      <c r="G31" s="72">
        <f>E31-F31</f>
        <v>0.3972222222222222</v>
      </c>
      <c r="H31" s="72">
        <v>0.5</v>
      </c>
      <c r="I31" s="73">
        <v>1</v>
      </c>
      <c r="J31" s="73">
        <f>IFERROR(IF(AND(G31&lt;&gt;"",H31&lt;&gt;""),IF(G31&gt;$B$14+TIME($C$14,($C$14-INT($C$14))*60,0),0,IF(H31&gt;$B$14+TIME($C$14,($C$14-INT($C$14))*60,0),MIN(TIME($C$14,($C$14-INT($C$14))*60,0),($B$14+TIME($C$14,($C$14-INT($C$14))*60,0)-G31)),MIN(IF((H31-$B$14)&lt;0,0,(H31-$B$14)),(H31-G31))))*24,"")-I31,"")</f>
        <v>1.4666666666666672</v>
      </c>
      <c r="K31" s="73">
        <v>0</v>
      </c>
      <c r="L31" s="110">
        <v>1.8055555555555557E-2</v>
      </c>
      <c r="M31" s="102">
        <v>0</v>
      </c>
      <c r="N31" s="99">
        <f>IFERROR(J31*IF(AND(ISNUMBER(SEARCH(TEXT(C31,"ddd"),$G$11)),Data!$F$2),$G$14,$D$14)+K31*$G$14,"")</f>
        <v>120.15384615384619</v>
      </c>
      <c r="O31" s="141">
        <f t="shared" si="2"/>
        <v>120.15384615384619</v>
      </c>
    </row>
    <row r="32" spans="2:34">
      <c r="B32" s="69"/>
      <c r="C32" s="70"/>
      <c r="D32" s="71"/>
      <c r="E32" s="143"/>
      <c r="F32" s="143"/>
      <c r="G32" s="74"/>
      <c r="H32" s="75"/>
      <c r="I32" s="73"/>
      <c r="J32" s="73"/>
      <c r="K32" s="73"/>
      <c r="L32" s="110"/>
      <c r="M32" s="112"/>
      <c r="N32" s="99"/>
    </row>
    <row r="33" spans="2:16">
      <c r="B33" s="66"/>
      <c r="C33" s="76"/>
      <c r="D33" s="77"/>
      <c r="E33" s="144"/>
      <c r="F33" s="144"/>
      <c r="G33" s="597" t="s">
        <v>182</v>
      </c>
      <c r="H33" s="598"/>
      <c r="I33" s="80">
        <f>SUM(I17:I31)</f>
        <v>9</v>
      </c>
      <c r="J33" s="80">
        <f>SUM(J17:J31)</f>
        <v>74.683333333333323</v>
      </c>
      <c r="K33" s="80">
        <f>SUM(K17:K31)</f>
        <v>0</v>
      </c>
      <c r="L33" s="113">
        <f>SUM(L17:L31)</f>
        <v>0.57083333333333519</v>
      </c>
      <c r="M33" s="114">
        <f>SUM(M17:M31)</f>
        <v>327.69230769230768</v>
      </c>
      <c r="N33" s="76"/>
    </row>
    <row r="34" spans="2:16">
      <c r="B34" s="66"/>
      <c r="C34" s="76"/>
      <c r="D34" s="77"/>
      <c r="E34" s="144"/>
      <c r="F34" s="144"/>
      <c r="G34" s="81" t="s">
        <v>39</v>
      </c>
      <c r="H34" s="82"/>
      <c r="I34" s="83"/>
      <c r="J34" s="84"/>
      <c r="K34" s="116"/>
      <c r="L34" s="102">
        <f>(D14/60)*240</f>
        <v>327.69230769230768</v>
      </c>
      <c r="M34" s="118"/>
      <c r="N34" s="119">
        <f>(H14*D14)-N54</f>
        <v>7045.3846153846152</v>
      </c>
      <c r="O34" s="151">
        <f>SUM(O17:O31)</f>
        <v>5891.206153846153</v>
      </c>
      <c r="P34" s="157">
        <f>N34-O34</f>
        <v>1154.1784615384622</v>
      </c>
    </row>
    <row r="35" spans="2:16">
      <c r="B35" s="65"/>
      <c r="C35" s="65"/>
      <c r="D35" s="85"/>
      <c r="E35" s="85"/>
      <c r="F35" s="85"/>
      <c r="G35" s="592" t="s">
        <v>183</v>
      </c>
      <c r="H35" s="592"/>
      <c r="I35" s="80"/>
      <c r="J35" s="80">
        <f>H14-J33</f>
        <v>29.316666666666677</v>
      </c>
      <c r="K35" s="65"/>
      <c r="L35" s="120"/>
      <c r="M35" s="65"/>
      <c r="N35" s="121">
        <f>L34</f>
        <v>327.69230769230768</v>
      </c>
      <c r="O35" s="151">
        <f>N38</f>
        <v>1474.6153846153845</v>
      </c>
    </row>
    <row r="36" spans="2:16">
      <c r="B36" s="65"/>
      <c r="C36" s="65"/>
      <c r="D36" s="85"/>
      <c r="E36" s="145"/>
      <c r="F36" s="145"/>
      <c r="G36" s="78" t="s">
        <v>41</v>
      </c>
      <c r="H36" s="79"/>
      <c r="I36" s="66"/>
      <c r="J36" s="66"/>
      <c r="K36" s="80"/>
      <c r="L36" s="80"/>
      <c r="M36" s="80"/>
      <c r="N36" s="121">
        <f>N34-N35</f>
        <v>6717.6923076923076</v>
      </c>
      <c r="O36" s="95">
        <f>M33</f>
        <v>327.69230769230768</v>
      </c>
    </row>
    <row r="37" spans="2:16">
      <c r="B37" s="65"/>
      <c r="C37" s="65"/>
      <c r="D37" s="85"/>
      <c r="E37" s="146"/>
      <c r="F37" s="146"/>
      <c r="G37" s="595" t="s">
        <v>202</v>
      </c>
      <c r="H37" s="596"/>
      <c r="I37" s="80"/>
      <c r="J37" s="66"/>
      <c r="K37" s="122"/>
      <c r="L37" s="122"/>
      <c r="M37" s="122"/>
      <c r="N37" s="123">
        <f>D14*K33</f>
        <v>0</v>
      </c>
      <c r="O37" s="95">
        <f>O34-O35-O36</f>
        <v>4088.8984615384607</v>
      </c>
    </row>
    <row r="38" spans="2:16">
      <c r="B38" s="65"/>
      <c r="C38" s="65"/>
      <c r="D38" s="85"/>
      <c r="E38" s="146"/>
      <c r="F38" s="146"/>
      <c r="G38" s="86" t="s">
        <v>203</v>
      </c>
      <c r="H38" s="87"/>
      <c r="I38" s="80"/>
      <c r="J38" s="66"/>
      <c r="K38" s="122"/>
      <c r="L38" s="122"/>
      <c r="M38" s="122"/>
      <c r="N38" s="123">
        <f>N54</f>
        <v>1474.6153846153845</v>
      </c>
      <c r="O38" s="95">
        <f>N38</f>
        <v>1474.6153846153845</v>
      </c>
    </row>
    <row r="39" spans="2:16">
      <c r="B39" s="65"/>
      <c r="C39" s="65"/>
      <c r="D39" s="85"/>
      <c r="E39" s="145"/>
      <c r="F39" s="145"/>
      <c r="G39" s="597" t="s">
        <v>186</v>
      </c>
      <c r="H39" s="598"/>
      <c r="I39" s="66"/>
      <c r="J39" s="66"/>
      <c r="K39" s="66"/>
      <c r="L39" s="66"/>
      <c r="M39" s="66"/>
      <c r="N39" s="124">
        <f>N36+N37+N38</f>
        <v>8192.3076923076915</v>
      </c>
      <c r="O39" s="95">
        <f>O37+O38</f>
        <v>5563.5138461538454</v>
      </c>
    </row>
    <row r="40" spans="2:16">
      <c r="D40" s="88"/>
      <c r="E40" s="88"/>
      <c r="F40" s="88"/>
      <c r="G40" s="589"/>
      <c r="H40" s="589"/>
      <c r="I40" s="90"/>
      <c r="J40" s="90"/>
      <c r="K40" s="125"/>
      <c r="L40" s="125"/>
      <c r="M40" s="125"/>
      <c r="N40" s="126"/>
      <c r="O40" s="127"/>
    </row>
    <row r="41" spans="2:16">
      <c r="D41" s="91"/>
      <c r="E41" s="91"/>
      <c r="F41" s="91"/>
    </row>
    <row r="42" spans="2:16">
      <c r="B42" s="590" t="s">
        <v>187</v>
      </c>
      <c r="C42" s="590"/>
      <c r="D42" s="590"/>
      <c r="E42" s="590"/>
      <c r="F42" s="590"/>
      <c r="G42" s="590"/>
      <c r="H42" s="590"/>
      <c r="I42" s="590"/>
      <c r="J42" s="590"/>
      <c r="K42" s="590"/>
      <c r="L42" s="590"/>
      <c r="M42" s="590"/>
      <c r="N42" s="590"/>
    </row>
    <row r="43" spans="2:16">
      <c r="D43" s="91"/>
      <c r="E43" s="91"/>
      <c r="F43" s="91"/>
    </row>
    <row r="44" spans="2:16">
      <c r="D44" s="91" t="s">
        <v>188</v>
      </c>
      <c r="E44" s="91"/>
      <c r="F44" s="91"/>
      <c r="N44" s="95"/>
    </row>
    <row r="45" spans="2:16">
      <c r="D45" s="54" t="s">
        <v>10</v>
      </c>
      <c r="E45" s="54"/>
      <c r="F45" s="54"/>
      <c r="G45" s="54" t="s">
        <v>11</v>
      </c>
      <c r="H45" s="54" t="s">
        <v>12</v>
      </c>
      <c r="I45" s="55" t="s">
        <v>13</v>
      </c>
    </row>
    <row r="46" spans="2:16">
      <c r="D46" s="56">
        <v>2022</v>
      </c>
      <c r="E46" s="56"/>
      <c r="F46" s="56"/>
      <c r="G46" s="56" t="s">
        <v>204</v>
      </c>
      <c r="H46" s="56">
        <v>12</v>
      </c>
      <c r="I46" s="56" t="s">
        <v>15</v>
      </c>
    </row>
    <row r="47" spans="2:16">
      <c r="D47" s="57"/>
      <c r="E47" s="57"/>
      <c r="F47" s="57"/>
      <c r="G47" s="57"/>
    </row>
    <row r="48" spans="2:16" ht="33.75">
      <c r="D48" s="58" t="s">
        <v>16</v>
      </c>
      <c r="E48" s="58"/>
      <c r="F48" s="58"/>
      <c r="G48" s="58" t="s">
        <v>17</v>
      </c>
      <c r="H48" s="58" t="s">
        <v>18</v>
      </c>
      <c r="I48" s="58" t="s">
        <v>19</v>
      </c>
    </row>
    <row r="49" spans="3:14">
      <c r="D49" s="61">
        <v>0.33333333333333298</v>
      </c>
      <c r="E49" s="61"/>
      <c r="F49" s="61"/>
      <c r="G49" s="62">
        <v>10</v>
      </c>
      <c r="H49" s="63">
        <f>D14</f>
        <v>81.92307692307692</v>
      </c>
      <c r="I49" s="130">
        <f>(H49*30%)+H49</f>
        <v>106.5</v>
      </c>
    </row>
    <row r="51" spans="3:14">
      <c r="C51" s="131" t="s">
        <v>20</v>
      </c>
      <c r="D51" s="131" t="s">
        <v>12</v>
      </c>
      <c r="E51" s="131"/>
      <c r="F51" s="131"/>
      <c r="G51" s="131" t="s">
        <v>21</v>
      </c>
      <c r="H51" s="131" t="s">
        <v>22</v>
      </c>
      <c r="I51" s="131" t="s">
        <v>23</v>
      </c>
      <c r="J51" s="131" t="s">
        <v>24</v>
      </c>
      <c r="K51" s="131" t="s">
        <v>25</v>
      </c>
      <c r="L51" s="131"/>
      <c r="M51" s="131"/>
      <c r="N51" s="131" t="s">
        <v>26</v>
      </c>
    </row>
    <row r="52" spans="3:14">
      <c r="C52" s="70" t="s">
        <v>324</v>
      </c>
      <c r="D52" s="71">
        <f>DATE($B$11,MATCH($G$46,Data!$B$2:$B$13,0),COMOSO!$H$46)</f>
        <v>45455</v>
      </c>
      <c r="E52" s="71"/>
      <c r="F52" s="71"/>
      <c r="G52" s="72">
        <v>0.33333333333333331</v>
      </c>
      <c r="H52" s="72">
        <v>0.75</v>
      </c>
      <c r="I52" s="73">
        <v>1</v>
      </c>
      <c r="J52" s="73">
        <f>IFERROR(IF(AND(G52&lt;&gt;"",H52&lt;&gt;""),IF(G52&gt;$B$14+TIME($C$14,($C$14-INT($C$14))*60,0),0,IF(H52&gt;$B$14+TIME($C$14,($C$14-INT($C$14))*60,0),MIN(TIME($C$14,($C$14-INT($C$14))*60,0),($B$14+TIME($C$14,($C$14-INT($C$14))*60,0)-G52)),MIN(IF((H52-$B$14)&lt;0,0,(H52-$B$14)),(H52-G52))))*24,"")-I52,"")</f>
        <v>9</v>
      </c>
      <c r="K52" s="73">
        <f>IF(AND(G52&lt;&gt;"",H52&lt;&gt;""),((IF(G52&lt;$D$49,MIN($D$49-G52,H52-G52),0)+IF(H52&gt;$D$49+TIME($G$49,($G$49-INT($G$49))*60,0),MIN((H52-$D$49-TIME($G$49,($G$49-INT($G$49))*60,0)),(H52-G52)),0))*24),"")</f>
        <v>0</v>
      </c>
      <c r="L52" s="73"/>
      <c r="M52" s="73"/>
      <c r="N52" s="99">
        <f>J52*H49</f>
        <v>737.30769230769226</v>
      </c>
    </row>
    <row r="53" spans="3:14">
      <c r="C53" s="70" t="s">
        <v>210</v>
      </c>
      <c r="D53" s="71">
        <v>17</v>
      </c>
      <c r="E53" s="71"/>
      <c r="F53" s="71"/>
      <c r="G53" s="72">
        <v>0.33333333333333331</v>
      </c>
      <c r="H53" s="72">
        <v>0.75</v>
      </c>
      <c r="I53" s="73">
        <v>1</v>
      </c>
      <c r="J53" s="73">
        <f>IFERROR(IF(AND(G53&lt;&gt;"",H53&lt;&gt;""),IF(G53&gt;$B$14+TIME($C$14,($C$14-INT($C$14))*60,0),0,IF(H53&gt;$B$14+TIME($C$14,($C$14-INT($C$14))*60,0),MIN(TIME($C$14,($C$14-INT($C$14))*60,0),($B$14+TIME($C$14,($C$14-INT($C$14))*60,0)-G53)),MIN(IF((H53-$B$14)&lt;0,0,(H53-$B$14)),(H53-G53))))*24,"")-I53,"")</f>
        <v>9</v>
      </c>
      <c r="K53" s="73">
        <v>0</v>
      </c>
      <c r="L53" s="73"/>
      <c r="M53" s="73"/>
      <c r="N53" s="99">
        <f>J53*H49</f>
        <v>737.30769230769226</v>
      </c>
    </row>
    <row r="54" spans="3:14"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318">
        <f>SUM(N52:N53)</f>
        <v>1474.6153846153845</v>
      </c>
    </row>
    <row r="55" spans="3:14">
      <c r="N55" s="138"/>
    </row>
    <row r="56" spans="3:14">
      <c r="N56" s="138"/>
    </row>
    <row r="57" spans="3:14">
      <c r="D57" s="132" t="s">
        <v>190</v>
      </c>
      <c r="E57" s="132"/>
      <c r="F57" s="132"/>
      <c r="G57" s="133"/>
      <c r="H57" s="133"/>
      <c r="I57" s="133"/>
    </row>
    <row r="58" spans="3:14">
      <c r="D58" s="132"/>
      <c r="E58" s="132"/>
      <c r="F58" s="132"/>
      <c r="G58" s="133"/>
      <c r="H58" s="133"/>
      <c r="I58" s="133"/>
    </row>
    <row r="59" spans="3:14">
      <c r="D59" s="132"/>
      <c r="E59" s="132"/>
      <c r="F59" s="132"/>
      <c r="G59" s="133"/>
      <c r="H59" s="133"/>
      <c r="I59" s="133"/>
    </row>
    <row r="60" spans="3:14">
      <c r="D60" s="591">
        <v>44981</v>
      </c>
      <c r="E60" s="591"/>
      <c r="F60" s="591"/>
      <c r="G60" s="88">
        <v>0</v>
      </c>
      <c r="H60" s="148" t="s">
        <v>280</v>
      </c>
      <c r="I60" s="254"/>
      <c r="J60" s="90"/>
      <c r="K60" s="90"/>
      <c r="L60" s="125"/>
    </row>
    <row r="61" spans="3:14">
      <c r="E61" s="88"/>
      <c r="F61" s="88"/>
      <c r="G61" s="88">
        <f>G60*H61</f>
        <v>0</v>
      </c>
      <c r="H61" s="253">
        <v>0.3</v>
      </c>
      <c r="I61" s="254"/>
      <c r="J61" s="90"/>
      <c r="K61" s="90"/>
      <c r="L61" s="125"/>
    </row>
    <row r="62" spans="3:14">
      <c r="E62" s="91"/>
      <c r="F62" s="91"/>
      <c r="G62" s="91"/>
    </row>
    <row r="63" spans="3:14">
      <c r="E63" s="91"/>
      <c r="F63" s="91"/>
      <c r="G63" s="91"/>
      <c r="H63" s="91">
        <f>G61</f>
        <v>0</v>
      </c>
    </row>
    <row r="64" spans="3:14">
      <c r="E64" s="91"/>
      <c r="F64" s="91"/>
      <c r="G64" s="91"/>
    </row>
    <row r="73" spans="3:3">
      <c r="C73" s="91" t="s">
        <v>141</v>
      </c>
    </row>
    <row r="74" spans="3:3">
      <c r="C74" t="s">
        <v>66</v>
      </c>
    </row>
    <row r="75" spans="3:3">
      <c r="C75" s="91"/>
    </row>
  </sheetData>
  <mergeCells count="11">
    <mergeCell ref="D60:F60"/>
    <mergeCell ref="G35:H35"/>
    <mergeCell ref="G37:H37"/>
    <mergeCell ref="G39:H39"/>
    <mergeCell ref="G40:H40"/>
    <mergeCell ref="B42:N42"/>
    <mergeCell ref="C7:D7"/>
    <mergeCell ref="L7:N7"/>
    <mergeCell ref="C8:D8"/>
    <mergeCell ref="L8:N8"/>
    <mergeCell ref="G33:H33"/>
  </mergeCells>
  <conditionalFormatting sqref="C25:E31">
    <cfRule type="expression" dxfId="26" priority="31">
      <formula>ISNUMBER(SEARCH(TEXT($C25,"ddd"),$G$11))</formula>
    </cfRule>
  </conditionalFormatting>
  <conditionalFormatting sqref="E18:E24">
    <cfRule type="expression" dxfId="25" priority="30">
      <formula>ISNUMBER(SEARCH(TEXT($C18,"ddd"),$G$11))</formula>
    </cfRule>
  </conditionalFormatting>
  <conditionalFormatting sqref="F17:G31">
    <cfRule type="expression" dxfId="24" priority="4">
      <formula>ISNUMBER(SEARCH(TEXT($C17,"ddd"),$G$11))</formula>
    </cfRule>
  </conditionalFormatting>
  <conditionalFormatting sqref="H20:H31">
    <cfRule type="expression" dxfId="23" priority="1">
      <formula>ISNUMBER(SEARCH(TEXT($C20,"ddd"),$G$11))</formula>
    </cfRule>
  </conditionalFormatting>
  <conditionalFormatting sqref="H17:K19 C17:E20 I20:K21 C21:D24">
    <cfRule type="expression" dxfId="22" priority="41">
      <formula>ISNUMBER(SEARCH(TEXT($C17,"ddd"),$G$11))</formula>
    </cfRule>
  </conditionalFormatting>
  <conditionalFormatting sqref="I22:L31">
    <cfRule type="expression" dxfId="21" priority="17">
      <formula>ISNUMBER(SEARCH(TEXT($C22,"ddd"),$G$11))</formula>
    </cfRule>
  </conditionalFormatting>
  <conditionalFormatting sqref="N17:N32 C32:L32 C52:N53">
    <cfRule type="expression" dxfId="20" priority="38">
      <formula>ISNUMBER(SEARCH(TEXT($C17,"ddd"),$G$11))</formula>
    </cfRule>
  </conditionalFormatting>
  <dataValidations count="3">
    <dataValidation type="custom" allowBlank="1" showInputMessage="1" showErrorMessage="1" sqref="G52:G53 E17:H17 E18:F31 G18:G32 H18:H31" xr:uid="{00000000-0002-0000-3300-000000000000}">
      <formula1>AND($G17&lt;=1,ISNUMBER($G17))</formula1>
    </dataValidation>
    <dataValidation type="list" allowBlank="1" showInputMessage="1" showErrorMessage="1" sqref="H46 D11:F11" xr:uid="{00000000-0002-0000-3300-000001000000}">
      <formula1>DateCalc</formula1>
    </dataValidation>
    <dataValidation type="custom" allowBlank="1" showInputMessage="1" showErrorMessage="1" sqref="H52:H53 H32" xr:uid="{00000000-0002-0000-3300-000002000000}">
      <formula1>AND($H32&lt;=1,ISNUMBER($H32),($H32&gt;=$G32))</formula1>
    </dataValidation>
  </dataValidations>
  <pageMargins left="0.81458333333333299" right="0.25" top="0.45486111111111099" bottom="0.36944444444444402" header="0.29861111111111099" footer="0.29861111111111099"/>
  <pageSetup paperSize="9" scale="91" orientation="landscape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9393" r:id="rId4" name="Check Box 1">
              <controlPr defaultSize="0" print="0" autoPict="0">
                <anchor moveWithCells="1">
                  <from>
                    <xdr:col>7</xdr:col>
                    <xdr:colOff>180975</xdr:colOff>
                    <xdr:row>9</xdr:row>
                    <xdr:rowOff>28575</xdr:rowOff>
                  </from>
                  <to>
                    <xdr:col>8</xdr:col>
                    <xdr:colOff>571500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3300-000003000000}">
          <x14:formula1>
            <xm:f>Data!$A$2:$A$12</xm:f>
          </x14:formula1>
          <xm:sqref>D46:F46 B11</xm:sqref>
        </x14:dataValidation>
        <x14:dataValidation type="list" allowBlank="1" showInputMessage="1" showErrorMessage="1" xr:uid="{00000000-0002-0000-3300-000004000000}">
          <x14:formula1>
            <xm:f>Data!$D$2:$D$16</xm:f>
          </x14:formula1>
          <xm:sqref>G11 I46</xm:sqref>
        </x14:dataValidation>
        <x14:dataValidation type="list" allowBlank="1" showInputMessage="1" showErrorMessage="1" xr:uid="{00000000-0002-0000-3300-000005000000}">
          <x14:formula1>
            <xm:f>Data!$B$2:$B$13</xm:f>
          </x14:formula1>
          <xm:sqref>G46 C11</xm:sqref>
        </x14:dataValidation>
      </x14:dataValidations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5:AH73"/>
  <sheetViews>
    <sheetView showGridLines="0" view="pageLayout" topLeftCell="A13" zoomScaleNormal="100" workbookViewId="0">
      <selection activeCell="J25" sqref="J25"/>
    </sheetView>
  </sheetViews>
  <sheetFormatPr defaultColWidth="9" defaultRowHeight="12.75"/>
  <cols>
    <col min="1" max="1" width="10.875" customWidth="1"/>
    <col min="2" max="2" width="5.375" customWidth="1"/>
    <col min="3" max="3" width="7.125" customWidth="1"/>
    <col min="4" max="4" width="7.625" customWidth="1"/>
    <col min="5" max="5" width="9.625" customWidth="1"/>
    <col min="6" max="6" width="10.625" customWidth="1"/>
    <col min="7" max="7" width="10.125" customWidth="1"/>
    <col min="8" max="8" width="9.625" customWidth="1"/>
    <col min="9" max="9" width="8.125" customWidth="1"/>
    <col min="10" max="10" width="9.125" customWidth="1"/>
    <col min="11" max="11" width="7.875" customWidth="1"/>
    <col min="12" max="12" width="11.125" customWidth="1"/>
    <col min="13" max="13" width="10.375" customWidth="1"/>
    <col min="14" max="14" width="10.875" customWidth="1"/>
    <col min="15" max="15" width="16.875" customWidth="1"/>
  </cols>
  <sheetData>
    <row r="5" spans="1:21" ht="25.5" customHeight="1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21" s="47" customFormat="1" ht="25.5" customHeight="1">
      <c r="A6" s="603"/>
      <c r="B6" s="603"/>
      <c r="C6" s="603"/>
      <c r="D6" s="603"/>
      <c r="E6" s="603"/>
      <c r="F6" s="603"/>
      <c r="G6" s="603"/>
      <c r="H6" s="603"/>
      <c r="I6" s="603"/>
      <c r="J6" s="603"/>
      <c r="K6" s="603"/>
      <c r="L6" s="603"/>
      <c r="M6" s="603"/>
      <c r="N6" s="603"/>
    </row>
    <row r="7" spans="1:21" ht="18.75" customHeight="1">
      <c r="C7" s="527" t="s">
        <v>3</v>
      </c>
      <c r="D7" s="527"/>
      <c r="E7" s="49"/>
      <c r="F7" s="49"/>
      <c r="G7" s="50" t="s">
        <v>219</v>
      </c>
      <c r="H7" s="51"/>
      <c r="J7" s="49" t="s">
        <v>174</v>
      </c>
      <c r="L7" s="599" t="str">
        <f>PAALAN!L7</f>
        <v>September  11-25, 2026</v>
      </c>
      <c r="M7" s="599"/>
      <c r="N7" s="599"/>
    </row>
    <row r="8" spans="1:21" ht="18.75" customHeight="1">
      <c r="C8" s="527" t="s">
        <v>175</v>
      </c>
      <c r="D8" s="527"/>
      <c r="E8" s="49"/>
      <c r="F8" s="49"/>
      <c r="G8" s="50" t="s">
        <v>199</v>
      </c>
      <c r="H8" s="51"/>
      <c r="J8" s="49" t="s">
        <v>176</v>
      </c>
      <c r="L8" s="600" t="str">
        <f>PAALAN!L8</f>
        <v>9/31/2026</v>
      </c>
      <c r="M8" s="600"/>
      <c r="N8" s="600"/>
    </row>
    <row r="9" spans="1:21">
      <c r="C9" s="52"/>
      <c r="D9" s="53"/>
      <c r="E9" s="53"/>
      <c r="F9" s="53"/>
      <c r="G9" s="53"/>
    </row>
    <row r="10" spans="1:21">
      <c r="B10" s="54" t="s">
        <v>10</v>
      </c>
      <c r="C10" s="54" t="s">
        <v>11</v>
      </c>
      <c r="D10" s="54" t="s">
        <v>12</v>
      </c>
      <c r="E10" s="54"/>
      <c r="F10" s="54"/>
      <c r="G10" s="55" t="s">
        <v>13</v>
      </c>
    </row>
    <row r="11" spans="1:21">
      <c r="B11" s="56">
        <v>2024</v>
      </c>
      <c r="C11" s="56" t="s">
        <v>216</v>
      </c>
      <c r="D11" s="56">
        <v>14</v>
      </c>
      <c r="E11" s="56"/>
      <c r="F11" s="56"/>
      <c r="G11" s="56" t="s">
        <v>178</v>
      </c>
    </row>
    <row r="12" spans="1:21">
      <c r="B12" s="57"/>
      <c r="C12" s="57"/>
      <c r="H12" s="57"/>
      <c r="K12" s="57"/>
      <c r="L12" s="57"/>
      <c r="M12" s="57"/>
    </row>
    <row r="13" spans="1:21" ht="32.1" customHeight="1">
      <c r="B13" s="58" t="s">
        <v>16</v>
      </c>
      <c r="C13" s="58" t="s">
        <v>17</v>
      </c>
      <c r="D13" s="58" t="s">
        <v>18</v>
      </c>
      <c r="E13" s="59"/>
      <c r="F13" s="59"/>
      <c r="G13" s="59" t="s">
        <v>19</v>
      </c>
      <c r="H13" s="60" t="s">
        <v>179</v>
      </c>
      <c r="L13" s="93"/>
      <c r="M13" s="93"/>
      <c r="N13" s="94"/>
      <c r="O13" s="58" t="s">
        <v>16</v>
      </c>
      <c r="P13" s="58" t="s">
        <v>17</v>
      </c>
      <c r="Q13" s="58" t="s">
        <v>18</v>
      </c>
      <c r="R13" s="59"/>
      <c r="S13" s="59"/>
      <c r="T13" s="59" t="s">
        <v>19</v>
      </c>
      <c r="U13" s="60" t="s">
        <v>179</v>
      </c>
    </row>
    <row r="14" spans="1:21">
      <c r="B14" s="61">
        <v>0.33333333333333298</v>
      </c>
      <c r="C14" s="62">
        <v>10</v>
      </c>
      <c r="D14" s="63">
        <v>41</v>
      </c>
      <c r="E14" s="142"/>
      <c r="F14" s="142"/>
      <c r="G14" s="64">
        <f>(D14*25%)+D14</f>
        <v>51.25</v>
      </c>
      <c r="H14" s="65">
        <v>105</v>
      </c>
      <c r="L14" s="57"/>
      <c r="M14" s="57"/>
      <c r="N14" s="95"/>
      <c r="O14" s="61">
        <v>0.375</v>
      </c>
      <c r="P14" s="62">
        <v>3</v>
      </c>
      <c r="Q14" s="63">
        <v>41</v>
      </c>
      <c r="R14" s="142"/>
      <c r="S14" s="142"/>
      <c r="T14" s="64">
        <f>(Q14*25%)+Q14</f>
        <v>51.25</v>
      </c>
      <c r="U14" s="65">
        <v>105</v>
      </c>
    </row>
    <row r="15" spans="1:21">
      <c r="N15" s="96"/>
    </row>
    <row r="16" spans="1:21" ht="23.25">
      <c r="B16" s="66"/>
      <c r="C16" s="67" t="s">
        <v>20</v>
      </c>
      <c r="D16" s="67" t="s">
        <v>12</v>
      </c>
      <c r="E16" s="67" t="s">
        <v>21</v>
      </c>
      <c r="F16" s="67" t="s">
        <v>209</v>
      </c>
      <c r="G16" s="67" t="s">
        <v>21</v>
      </c>
      <c r="H16" s="67" t="s">
        <v>22</v>
      </c>
      <c r="I16" s="68" t="s">
        <v>23</v>
      </c>
      <c r="J16" s="68" t="s">
        <v>24</v>
      </c>
      <c r="K16" s="68" t="s">
        <v>25</v>
      </c>
      <c r="L16" s="67" t="s">
        <v>180</v>
      </c>
      <c r="M16" s="134" t="s">
        <v>181</v>
      </c>
      <c r="N16" s="67" t="s">
        <v>26</v>
      </c>
    </row>
    <row r="17" spans="2:34">
      <c r="B17" s="69">
        <v>1</v>
      </c>
      <c r="C17" s="70">
        <f>DATE($B$11,MATCH($C$11,Data!$B$2:$B$13,0),ADELANTAR!$D$11)</f>
        <v>45426</v>
      </c>
      <c r="D17" s="71">
        <f>DATE($B$11,MATCH($C$11,Data!$B$2:$B$13,0),ADELANTAR!$D$11)</f>
        <v>45426</v>
      </c>
      <c r="E17" s="72">
        <v>0.34097222222222223</v>
      </c>
      <c r="F17" s="72">
        <v>6.9444444444444441E-3</v>
      </c>
      <c r="G17" s="72">
        <f t="shared" ref="G17" si="0">E17-F17</f>
        <v>0.33402777777777781</v>
      </c>
      <c r="H17" s="72">
        <v>0.75</v>
      </c>
      <c r="I17" s="73">
        <v>1</v>
      </c>
      <c r="J17" s="73">
        <f t="shared" ref="J17" si="1">IFERROR(IF(AND(G17&lt;&gt;"",H17&lt;&gt;""),IF(G17&gt;$B$14+TIME($C$14,($C$14-INT($C$14))*60,0),0,IF(H17&gt;$B$14+TIME($C$14,($C$14-INT($C$14))*60,0),MIN(TIME($C$14,($C$14-INT($C$14))*60,0),($B$14+TIME($C$14,($C$14-INT($C$14))*60,0)-G17)),MIN(IF((H17-$B$14)&lt;0,0,(H17-$B$14)),(H17-G17))))*24,"")-I17,"")</f>
        <v>8.9833333333333325</v>
      </c>
      <c r="K17" s="73">
        <f t="shared" ref="K17" si="2">IF(AND(G17&lt;&gt;"",H17&lt;&gt;""),((IF(G17&lt;$B$14,MIN($B$14-G17,H17-G17),0)+IF(H17&gt;$B$14+TIME($C$14,($C$14-INT($C$14))*60,0),MIN((H17-$B$14-TIME($C$14,($C$14-INT($C$14))*60,0)),(H17-G17)),0))*24),"")</f>
        <v>0</v>
      </c>
      <c r="L17" s="101">
        <f>G17-B14</f>
        <v>6.9444444444483056E-4</v>
      </c>
      <c r="M17" s="102">
        <f>(D14/60)*1</f>
        <v>0.68333333333333335</v>
      </c>
      <c r="N17" s="99">
        <f>IFERROR(J17*IF(AND(ISNUMBER(SEARCH(TEXT(C17,"ddd"),$G$11)),Data!$F$2),$G$14,$D$14)+K17*$G$14,"")</f>
        <v>368.31666666666661</v>
      </c>
      <c r="O17" s="100"/>
      <c r="P17" s="89"/>
      <c r="Q17" s="89"/>
    </row>
    <row r="18" spans="2:34">
      <c r="B18" s="69">
        <v>2</v>
      </c>
      <c r="C18" s="70">
        <f t="shared" ref="C18:D31" si="3">C17+1</f>
        <v>45427</v>
      </c>
      <c r="D18" s="71">
        <f t="shared" si="3"/>
        <v>45427</v>
      </c>
      <c r="E18" s="72">
        <v>0.34027777777777773</v>
      </c>
      <c r="F18" s="72">
        <v>6.9444444444444441E-3</v>
      </c>
      <c r="G18" s="72">
        <f t="shared" ref="G18:G30" si="4">E18-F18</f>
        <v>0.33333333333333331</v>
      </c>
      <c r="H18" s="72">
        <v>0.75</v>
      </c>
      <c r="I18" s="73">
        <v>1</v>
      </c>
      <c r="J18" s="73">
        <f t="shared" ref="J18:J29" si="5">IFERROR(IF(AND(G18&lt;&gt;"",H18&lt;&gt;""),IF(G18&gt;$B$14+TIME($C$14,($C$14-INT($C$14))*60,0),0,IF(H18&gt;$B$14+TIME($C$14,($C$14-INT($C$14))*60,0),MIN(TIME($C$14,($C$14-INT($C$14))*60,0),($B$14+TIME($C$14,($C$14-INT($C$14))*60,0)-G18)),MIN(IF((H18-$B$14)&lt;0,0,(H18-$B$14)),(H18-G18))))*24,"")-I18,"")</f>
        <v>9</v>
      </c>
      <c r="K18" s="73">
        <f t="shared" ref="K18:K27" si="6">IF(AND(G18&lt;&gt;"",H18&lt;&gt;""),((IF(G18&lt;$B$14,MIN($B$14-G18,H18-G18),0)+IF(H18&gt;$B$14+TIME($C$14,($C$14-INT($C$14))*60,0),MIN((H18-$B$14-TIME($C$14,($C$14-INT($C$14))*60,0)),(H18-G18)),0))*24),"")</f>
        <v>0</v>
      </c>
      <c r="L18" s="101">
        <f>G18-B14</f>
        <v>0</v>
      </c>
      <c r="M18" s="102">
        <f>(D14/60)*0</f>
        <v>0</v>
      </c>
      <c r="N18" s="99">
        <f>IFERROR(J18*IF(AND(ISNUMBER(SEARCH(TEXT(C18,"ddd"),$G$11)),Data!$F$2),$G$14,$D$14)+K18*$G$14,"")</f>
        <v>369</v>
      </c>
      <c r="O18" s="89"/>
      <c r="P18" s="89"/>
      <c r="Q18" s="89"/>
    </row>
    <row r="19" spans="2:34">
      <c r="B19" s="69">
        <v>3</v>
      </c>
      <c r="C19" s="70">
        <f t="shared" si="3"/>
        <v>45428</v>
      </c>
      <c r="D19" s="71">
        <f t="shared" si="3"/>
        <v>45428</v>
      </c>
      <c r="E19" s="72">
        <v>0.34097222222222223</v>
      </c>
      <c r="F19" s="72">
        <v>6.9444444444444441E-3</v>
      </c>
      <c r="G19" s="72">
        <f t="shared" ref="G19:G20" si="7">E19-F19</f>
        <v>0.33402777777777781</v>
      </c>
      <c r="H19" s="72">
        <v>0.70833333333333337</v>
      </c>
      <c r="I19" s="73">
        <v>1</v>
      </c>
      <c r="J19" s="73">
        <f t="shared" ref="J19:J20" si="8">IFERROR(IF(AND(G19&lt;&gt;"",H19&lt;&gt;""),IF(G19&gt;$B$14+TIME($C$14,($C$14-INT($C$14))*60,0),0,IF(H19&gt;$B$14+TIME($C$14,($C$14-INT($C$14))*60,0),MIN(TIME($C$14,($C$14-INT($C$14))*60,0),($B$14+TIME($C$14,($C$14-INT($C$14))*60,0)-G19)),MIN(IF((H19-$B$14)&lt;0,0,(H19-$B$14)),(H19-G19))))*24,"")-I19,"")</f>
        <v>7.9833333333333343</v>
      </c>
      <c r="K19" s="73">
        <f t="shared" ref="K19:K20" si="9">IF(AND(G19&lt;&gt;"",H19&lt;&gt;""),((IF(G19&lt;$B$14,MIN($B$14-G19,H19-G19),0)+IF(H19&gt;$B$14+TIME($C$14,($C$14-INT($C$14))*60,0),MIN((H19-$B$14-TIME($C$14,($C$14-INT($C$14))*60,0)),(H19-G19)),0))*24),"")</f>
        <v>0</v>
      </c>
      <c r="L19" s="101">
        <f>(G19-B14)+(H17-H19)</f>
        <v>4.236111111111146E-2</v>
      </c>
      <c r="M19" s="102">
        <f>(D14/60)*61</f>
        <v>41.683333333333337</v>
      </c>
      <c r="N19" s="99">
        <f>IFERROR(J19*IF(AND(ISNUMBER(SEARCH(TEXT(C19,"ddd"),$G$11)),Data!$F$2),$G$14,$D$14)+K19*$G$14,"")</f>
        <v>327.31666666666672</v>
      </c>
      <c r="O19" s="106"/>
      <c r="P19" s="104"/>
      <c r="Q19" s="104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</row>
    <row r="20" spans="2:34">
      <c r="B20" s="69">
        <v>4</v>
      </c>
      <c r="C20" s="70">
        <f t="shared" si="3"/>
        <v>45429</v>
      </c>
      <c r="D20" s="71">
        <f t="shared" si="3"/>
        <v>45429</v>
      </c>
      <c r="E20" s="72">
        <v>0.3430555555555555</v>
      </c>
      <c r="F20" s="72">
        <v>6.9444444444444441E-3</v>
      </c>
      <c r="G20" s="72">
        <f t="shared" si="7"/>
        <v>0.33611111111111108</v>
      </c>
      <c r="H20" s="72">
        <v>0.75</v>
      </c>
      <c r="I20" s="73">
        <v>1</v>
      </c>
      <c r="J20" s="73">
        <f t="shared" si="8"/>
        <v>8.9333333333333336</v>
      </c>
      <c r="K20" s="73">
        <f t="shared" si="9"/>
        <v>0</v>
      </c>
      <c r="L20" s="101">
        <f>G20-B14</f>
        <v>2.777777777778101E-3</v>
      </c>
      <c r="M20" s="102">
        <f>(D14/60)*4</f>
        <v>2.7333333333333334</v>
      </c>
      <c r="N20" s="99">
        <f>IFERROR(J20*IF(AND(ISNUMBER(SEARCH(TEXT(C20,"ddd"),$G$11)),Data!$F$2),$G$14,$D$14)+K20*$G$14,"")</f>
        <v>366.26666666666665</v>
      </c>
      <c r="O20" s="106"/>
      <c r="P20" s="103"/>
      <c r="Q20" s="103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28"/>
    </row>
    <row r="21" spans="2:34">
      <c r="B21" s="69">
        <v>5</v>
      </c>
      <c r="C21" s="70">
        <f t="shared" si="3"/>
        <v>45430</v>
      </c>
      <c r="D21" s="71">
        <f t="shared" si="3"/>
        <v>45430</v>
      </c>
      <c r="E21" s="72">
        <v>0.38194444444444442</v>
      </c>
      <c r="F21" s="72">
        <v>6.9444444444444441E-3</v>
      </c>
      <c r="G21" s="72">
        <f t="shared" ref="G21" si="10">E21-F21</f>
        <v>0.375</v>
      </c>
      <c r="H21" s="72">
        <v>0.66666666666666663</v>
      </c>
      <c r="I21" s="73">
        <v>0</v>
      </c>
      <c r="J21" s="73">
        <f>IFERROR(IF(AND(G21&lt;&gt;"",H21&lt;&gt;""),IF(G21&gt;$O$14+TIME($P$14,($P$14-INT($P$14))*60,0),0,IF(H21&gt;$O$14+TIME($P$14,($P$14-INT($P$14))*60,0),MIN(TIME($P$14,($P$14-INT($P$14))*60,0),($O$14+TIME($P$14,($P$14-INT($P$14))*60,0)-G21)),MIN(IF((H21-$O$14)&lt;0,0,(H21-$O$14)),(H21-G21))))*24,"")-I21,"")</f>
        <v>3</v>
      </c>
      <c r="K21" s="73">
        <v>3</v>
      </c>
      <c r="L21" s="101">
        <v>0</v>
      </c>
      <c r="M21" s="102">
        <f>(D14/60)*0</f>
        <v>0</v>
      </c>
      <c r="N21" s="99">
        <f>IFERROR(J21*IF(AND(ISNUMBER(SEARCH(TEXT(C21,"ddd"),$G$11)),Data!$F$2),$D$14,$D$14)+K21*$D$14,"")</f>
        <v>246</v>
      </c>
      <c r="O21" s="107"/>
      <c r="P21" s="108"/>
      <c r="Q21" s="108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4"/>
    </row>
    <row r="22" spans="2:34">
      <c r="B22" s="69"/>
      <c r="C22" s="70">
        <f t="shared" si="3"/>
        <v>45431</v>
      </c>
      <c r="D22" s="71">
        <f t="shared" si="3"/>
        <v>45431</v>
      </c>
      <c r="E22" s="72">
        <v>0</v>
      </c>
      <c r="F22" s="72">
        <v>0</v>
      </c>
      <c r="G22" s="72">
        <f t="shared" si="4"/>
        <v>0</v>
      </c>
      <c r="H22" s="72">
        <v>0</v>
      </c>
      <c r="I22" s="73">
        <v>0</v>
      </c>
      <c r="J22" s="73">
        <f t="shared" si="5"/>
        <v>0</v>
      </c>
      <c r="K22" s="73">
        <f t="shared" si="6"/>
        <v>0</v>
      </c>
      <c r="L22" s="97">
        <v>0</v>
      </c>
      <c r="M22" s="98">
        <f>(D14/60)*0</f>
        <v>0</v>
      </c>
      <c r="N22" s="99">
        <f>IFERROR(J22*IF(AND(ISNUMBER(SEARCH(TEXT(C22,"ddd"),$G$11)),Data!$F$2),$D$14,$D$14)+K22*$D$14,"")</f>
        <v>0</v>
      </c>
      <c r="O22" s="602"/>
      <c r="P22" s="602"/>
      <c r="Q22" s="602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4"/>
    </row>
    <row r="23" spans="2:34">
      <c r="B23" s="69">
        <v>6</v>
      </c>
      <c r="C23" s="70">
        <f t="shared" si="3"/>
        <v>45432</v>
      </c>
      <c r="D23" s="71">
        <f t="shared" si="3"/>
        <v>45432</v>
      </c>
      <c r="E23" s="72">
        <v>0.34027777777777773</v>
      </c>
      <c r="F23" s="72">
        <v>6.9444444444444441E-3</v>
      </c>
      <c r="G23" s="72">
        <f t="shared" si="4"/>
        <v>0.33333333333333331</v>
      </c>
      <c r="H23" s="72">
        <v>0.75</v>
      </c>
      <c r="I23" s="73">
        <v>1</v>
      </c>
      <c r="J23" s="73">
        <f t="shared" ref="J23" si="11">IFERROR(IF(AND(G23&lt;&gt;"",H23&lt;&gt;""),IF(G23&gt;$B$14+TIME($C$14,($C$14-INT($C$14))*60,0),0,IF(H23&gt;$B$14+TIME($C$14,($C$14-INT($C$14))*60,0),MIN(TIME($C$14,($C$14-INT($C$14))*60,0),($B$14+TIME($C$14,($C$14-INT($C$14))*60,0)-G23)),MIN(IF((H23-$B$14)&lt;0,0,(H23-$B$14)),(H23-G23))))*24,"")-I23,"")</f>
        <v>9</v>
      </c>
      <c r="K23" s="73">
        <f t="shared" ref="K23" si="12">IF(AND(G23&lt;&gt;"",H23&lt;&gt;""),((IF(G23&lt;$B$14,MIN($B$14-G23,H23-G23),0)+IF(H23&gt;$B$14+TIME($C$14,($C$14-INT($C$14))*60,0),MIN((H23-$B$14-TIME($C$14,($C$14-INT($C$14))*60,0)),(H23-G23)),0))*24),"")</f>
        <v>0</v>
      </c>
      <c r="L23" s="101">
        <f>G23-B14</f>
        <v>0</v>
      </c>
      <c r="M23" s="102">
        <f>(D14/60)*0</f>
        <v>0</v>
      </c>
      <c r="N23" s="99">
        <f>IFERROR(J23*IF(AND(ISNUMBER(SEARCH(TEXT(C23,"ddd"),$G$11)),Data!$F$2),$G$14,$D$14)+K23*$G$14,"")</f>
        <v>369</v>
      </c>
      <c r="O23" s="89"/>
      <c r="P23" s="89"/>
      <c r="Q23" s="89"/>
    </row>
    <row r="24" spans="2:34">
      <c r="B24" s="69">
        <v>7</v>
      </c>
      <c r="C24" s="70">
        <f t="shared" si="3"/>
        <v>45433</v>
      </c>
      <c r="D24" s="71">
        <f t="shared" si="3"/>
        <v>45433</v>
      </c>
      <c r="E24" s="72">
        <v>0.34027777777777773</v>
      </c>
      <c r="F24" s="72">
        <v>6.9444444444444441E-3</v>
      </c>
      <c r="G24" s="72">
        <f t="shared" ref="G24" si="13">E24-F24</f>
        <v>0.33333333333333331</v>
      </c>
      <c r="H24" s="72">
        <v>0.70833333333333337</v>
      </c>
      <c r="I24" s="73">
        <v>1</v>
      </c>
      <c r="J24" s="73">
        <f t="shared" ref="J24" si="14">IFERROR(IF(AND(G24&lt;&gt;"",H24&lt;&gt;""),IF(G24&gt;$B$14+TIME($C$14,($C$14-INT($C$14))*60,0),0,IF(H24&gt;$B$14+TIME($C$14,($C$14-INT($C$14))*60,0),MIN(TIME($C$14,($C$14-INT($C$14))*60,0),($B$14+TIME($C$14,($C$14-INT($C$14))*60,0)-G24)),MIN(IF((H24-$B$14)&lt;0,0,(H24-$B$14)),(H24-G24))))*24,"")-I24,"")</f>
        <v>8.0000000000000018</v>
      </c>
      <c r="K24" s="73">
        <f t="shared" ref="K24" si="15">IF(AND(G24&lt;&gt;"",H24&lt;&gt;""),((IF(G24&lt;$B$14,MIN($B$14-G24,H24-G24),0)+IF(H24&gt;$B$14+TIME($C$14,($C$14-INT($C$14))*60,0),MIN((H24-$B$14-TIME($C$14,($C$14-INT($C$14))*60,0)),(H24-G24)),0))*24),"")</f>
        <v>0</v>
      </c>
      <c r="L24" s="101">
        <f>(G24-B14)+(H17-H24)</f>
        <v>4.1666666666666963E-2</v>
      </c>
      <c r="M24" s="102">
        <f>(D14/60)*60</f>
        <v>41</v>
      </c>
      <c r="N24" s="99">
        <f>IFERROR(J24*IF(AND(ISNUMBER(SEARCH(TEXT(C24,"ddd"),$G$11)),Data!$F$2),$G$14,$D$14)+K24*$G$14,"")</f>
        <v>328.00000000000006</v>
      </c>
      <c r="O24" s="89"/>
      <c r="P24" s="89"/>
      <c r="Q24" s="89"/>
    </row>
    <row r="25" spans="2:34">
      <c r="B25" s="69">
        <v>8</v>
      </c>
      <c r="C25" s="70">
        <f t="shared" si="3"/>
        <v>45434</v>
      </c>
      <c r="D25" s="71">
        <f t="shared" si="3"/>
        <v>45434</v>
      </c>
      <c r="E25" s="72">
        <v>0.44930555555555557</v>
      </c>
      <c r="F25" s="72">
        <v>6.9444444444444441E-3</v>
      </c>
      <c r="G25" s="72">
        <f t="shared" si="4"/>
        <v>0.44236111111111115</v>
      </c>
      <c r="H25" s="72">
        <v>0.75</v>
      </c>
      <c r="I25" s="73">
        <v>1</v>
      </c>
      <c r="J25" s="73">
        <f t="shared" si="5"/>
        <v>6.3833333333333329</v>
      </c>
      <c r="K25" s="73">
        <f t="shared" si="6"/>
        <v>0</v>
      </c>
      <c r="L25" s="101">
        <f>G25-B14</f>
        <v>0.10902777777777817</v>
      </c>
      <c r="M25" s="102">
        <f>(D14/60)*157</f>
        <v>107.28333333333333</v>
      </c>
      <c r="N25" s="99">
        <f>IFERROR(J25*IF(AND(ISNUMBER(SEARCH(TEXT(C25,"ddd"),$G$11)),Data!$F$2),$G$14,$D$14)+K25*$G$14,"")</f>
        <v>261.71666666666664</v>
      </c>
      <c r="O25" s="89"/>
      <c r="P25" s="89"/>
      <c r="Q25" s="89"/>
    </row>
    <row r="26" spans="2:34">
      <c r="B26" s="69">
        <v>9</v>
      </c>
      <c r="C26" s="70">
        <f t="shared" si="3"/>
        <v>45435</v>
      </c>
      <c r="D26" s="71">
        <f>D25+1</f>
        <v>45435</v>
      </c>
      <c r="E26" s="72">
        <v>0.3527777777777778</v>
      </c>
      <c r="F26" s="72">
        <v>6.9444444444444441E-3</v>
      </c>
      <c r="G26" s="72">
        <f t="shared" ref="G26" si="16">E26-F26</f>
        <v>0.34583333333333338</v>
      </c>
      <c r="H26" s="72">
        <v>0.75</v>
      </c>
      <c r="I26" s="73">
        <v>1</v>
      </c>
      <c r="J26" s="73">
        <f t="shared" ref="J26" si="17">IFERROR(IF(AND(G26&lt;&gt;"",H26&lt;&gt;""),IF(G26&gt;$B$14+TIME($C$14,($C$14-INT($C$14))*60,0),0,IF(H26&gt;$B$14+TIME($C$14,($C$14-INT($C$14))*60,0),MIN(TIME($C$14,($C$14-INT($C$14))*60,0),($B$14+TIME($C$14,($C$14-INT($C$14))*60,0)-G26)),MIN(IF((H26-$B$14)&lt;0,0,(H26-$B$14)),(H26-G26))))*24,"")-I26,"")</f>
        <v>8.6999999999999993</v>
      </c>
      <c r="K26" s="73">
        <f t="shared" ref="K26" si="18">IF(AND(G26&lt;&gt;"",H26&lt;&gt;""),((IF(G26&lt;$B$14,MIN($B$14-G26,H26-G26),0)+IF(H26&gt;$B$14+TIME($C$14,($C$14-INT($C$14))*60,0),MIN((H26-$B$14-TIME($C$14,($C$14-INT($C$14))*60,0)),(H26-G26)),0))*24),"")</f>
        <v>0</v>
      </c>
      <c r="L26" s="101">
        <f>G26-B14</f>
        <v>1.25000000000004E-2</v>
      </c>
      <c r="M26" s="102">
        <f>(D14/60)*18</f>
        <v>12.3</v>
      </c>
      <c r="N26" s="99">
        <f>IFERROR(J26*IF(AND(ISNUMBER(SEARCH(TEXT(C26,"ddd"),$G$11)),Data!$F$2),$G$14,$D$14)+K26*$G$14,"")</f>
        <v>356.7</v>
      </c>
      <c r="O26" s="89"/>
      <c r="P26" s="89"/>
      <c r="Q26" s="89"/>
    </row>
    <row r="27" spans="2:34">
      <c r="B27" s="69">
        <v>10</v>
      </c>
      <c r="C27" s="70">
        <f t="shared" si="3"/>
        <v>45436</v>
      </c>
      <c r="D27" s="71">
        <f t="shared" si="3"/>
        <v>45436</v>
      </c>
      <c r="E27" s="72">
        <v>0.36180555555555555</v>
      </c>
      <c r="F27" s="72">
        <v>6.9444444444444441E-3</v>
      </c>
      <c r="G27" s="72">
        <f t="shared" si="4"/>
        <v>0.35486111111111113</v>
      </c>
      <c r="H27" s="72">
        <v>0.75</v>
      </c>
      <c r="I27" s="73">
        <v>1</v>
      </c>
      <c r="J27" s="73">
        <f t="shared" si="5"/>
        <v>8.4833333333333325</v>
      </c>
      <c r="K27" s="73">
        <f t="shared" si="6"/>
        <v>0</v>
      </c>
      <c r="L27" s="101">
        <f>G27-B14</f>
        <v>2.1527777777778145E-2</v>
      </c>
      <c r="M27" s="102">
        <f>(D14/60)*31</f>
        <v>21.183333333333334</v>
      </c>
      <c r="N27" s="99">
        <f>IFERROR(J27*IF(AND(ISNUMBER(SEARCH(TEXT(C27,"ddd"),$G$11)),Data!$F$2),$G$14,$D$14)+K27*$G$14,"")</f>
        <v>347.81666666666661</v>
      </c>
      <c r="O27" s="95"/>
    </row>
    <row r="28" spans="2:34">
      <c r="B28" s="69">
        <v>11</v>
      </c>
      <c r="C28" s="70">
        <f t="shared" si="3"/>
        <v>45437</v>
      </c>
      <c r="D28" s="71">
        <f t="shared" si="3"/>
        <v>45437</v>
      </c>
      <c r="E28" s="72">
        <v>0.3979166666666667</v>
      </c>
      <c r="F28" s="72">
        <v>6.9444444444444441E-3</v>
      </c>
      <c r="G28" s="72">
        <f t="shared" ref="G28" si="19">E28-F28</f>
        <v>0.39097222222222228</v>
      </c>
      <c r="H28" s="72">
        <v>0.5</v>
      </c>
      <c r="I28" s="73">
        <v>0</v>
      </c>
      <c r="J28" s="73">
        <f t="shared" ref="J28" si="20">IFERROR(IF(AND(G28&lt;&gt;"",H28&lt;&gt;""),IF(G28&gt;$B$14+TIME($C$14,($C$14-INT($C$14))*60,0),0,IF(H28&gt;$B$14+TIME($C$14,($C$14-INT($C$14))*60,0),MIN(TIME($C$14,($C$14-INT($C$14))*60,0),($B$14+TIME($C$14,($C$14-INT($C$14))*60,0)-G28)),MIN(IF((H28-$B$14)&lt;0,0,(H28-$B$14)),(H28-G28))))*24,"")-I28,"")</f>
        <v>2.6166666666666654</v>
      </c>
      <c r="K28" s="73">
        <f t="shared" ref="K28" si="21">IF(AND(G28&lt;&gt;"",H28&lt;&gt;""),((IF(G28&lt;$B$14,MIN($B$14-G28,H28-G28),0)+IF(H28&gt;$B$14+TIME($C$14,($C$14-INT($C$14))*60,0),MIN((H28-$B$14-TIME($C$14,($C$14-INT($C$14))*60,0)),(H28-G28)),0))*24),"")</f>
        <v>0</v>
      </c>
      <c r="L28" s="101">
        <v>1.5972222222222224E-2</v>
      </c>
      <c r="M28" s="102">
        <f>(D14/60)*23</f>
        <v>15.716666666666667</v>
      </c>
      <c r="N28" s="99">
        <f>IFERROR(J28*IF(AND(ISNUMBER(SEARCH(TEXT(C28,"ddd"),$G$11)),Data!$F$2),$G$14,$D$14)+K28*$G$14,"")</f>
        <v>107.28333333333327</v>
      </c>
      <c r="O28" s="89"/>
    </row>
    <row r="29" spans="2:34">
      <c r="B29" s="69"/>
      <c r="C29" s="70">
        <f t="shared" si="3"/>
        <v>45438</v>
      </c>
      <c r="D29" s="71">
        <f t="shared" si="3"/>
        <v>45438</v>
      </c>
      <c r="E29" s="72">
        <v>0.34027777777777773</v>
      </c>
      <c r="F29" s="72">
        <v>6.9444444444444441E-3</v>
      </c>
      <c r="G29" s="72">
        <f t="shared" si="4"/>
        <v>0.33333333333333331</v>
      </c>
      <c r="H29" s="72">
        <v>0.75</v>
      </c>
      <c r="I29" s="73">
        <v>1</v>
      </c>
      <c r="J29" s="73">
        <f t="shared" si="5"/>
        <v>9</v>
      </c>
      <c r="K29" s="73">
        <v>0</v>
      </c>
      <c r="L29" s="110">
        <v>0</v>
      </c>
      <c r="M29" s="98">
        <f>(D14/60)*0</f>
        <v>0</v>
      </c>
      <c r="N29" s="99">
        <f>IFERROR(J29*IF(AND(ISNUMBER(SEARCH(TEXT(C29,"ddd"),$G$11)),Data!$F$2),$G$14,$D$14)+K29*$G$14,"")</f>
        <v>461.25</v>
      </c>
      <c r="O29" s="95"/>
    </row>
    <row r="30" spans="2:34">
      <c r="B30" s="69">
        <v>12</v>
      </c>
      <c r="C30" s="70">
        <f t="shared" si="3"/>
        <v>45439</v>
      </c>
      <c r="D30" s="71">
        <f t="shared" si="3"/>
        <v>45439</v>
      </c>
      <c r="E30" s="72">
        <v>0.39999999999999997</v>
      </c>
      <c r="F30" s="72">
        <v>6.9444444444444441E-3</v>
      </c>
      <c r="G30" s="72">
        <f t="shared" si="4"/>
        <v>0.39305555555555555</v>
      </c>
      <c r="H30" s="72">
        <v>0.75</v>
      </c>
      <c r="I30" s="73">
        <v>1</v>
      </c>
      <c r="J30" s="73">
        <f t="shared" ref="J30" si="22">IFERROR(IF(AND(G30&lt;&gt;"",H30&lt;&gt;""),IF(G30&gt;$B$14+TIME($C$14,($C$14-INT($C$14))*60,0),0,IF(H30&gt;$B$14+TIME($C$14,($C$14-INT($C$14))*60,0),MIN(TIME($C$14,($C$14-INT($C$14))*60,0),($B$14+TIME($C$14,($C$14-INT($C$14))*60,0)-G30)),MIN(IF((H30-$B$14)&lt;0,0,(H30-$B$14)),(H30-G30))))*24,"")-I30,"")</f>
        <v>7.5666666666666664</v>
      </c>
      <c r="K30" s="73">
        <f t="shared" ref="K30" si="23">IF(AND(G30&lt;&gt;"",H30&lt;&gt;""),((IF(G30&lt;$B$14,MIN($B$14-G30,H30-G30),0)+IF(H30&gt;$B$14+TIME($C$14,($C$14-INT($C$14))*60,0),MIN((H30-$B$14-TIME($C$14,($C$14-INT($C$14))*60,0)),(H30-G30)),0))*24),"")</f>
        <v>0</v>
      </c>
      <c r="L30" s="101">
        <f>G30-B14</f>
        <v>5.9722222222222565E-2</v>
      </c>
      <c r="M30" s="102">
        <f>(D14/60)*86</f>
        <v>58.766666666666666</v>
      </c>
      <c r="N30" s="99">
        <f>IFERROR(J30*IF(AND(ISNUMBER(SEARCH(TEXT(C30,"ddd"),$G$11)),Data!$F$2),$G$14,$D$14)+K30*$G$14,"")</f>
        <v>310.23333333333335</v>
      </c>
      <c r="O30" s="95"/>
    </row>
    <row r="31" spans="2:34">
      <c r="B31" s="69">
        <v>13</v>
      </c>
      <c r="C31" s="70">
        <f t="shared" si="3"/>
        <v>45440</v>
      </c>
      <c r="D31" s="71">
        <f t="shared" si="3"/>
        <v>45440</v>
      </c>
      <c r="E31" s="72">
        <v>0.35138888888888892</v>
      </c>
      <c r="F31" s="72">
        <v>6.9444444444444441E-3</v>
      </c>
      <c r="G31" s="72">
        <f t="shared" ref="G31" si="24">E31-F31</f>
        <v>0.3444444444444445</v>
      </c>
      <c r="H31" s="72">
        <v>0.75</v>
      </c>
      <c r="I31" s="73">
        <v>1</v>
      </c>
      <c r="J31" s="73">
        <f t="shared" ref="J31" si="25">IFERROR(IF(AND(G31&lt;&gt;"",H31&lt;&gt;""),IF(G31&gt;$B$14+TIME($C$14,($C$14-INT($C$14))*60,0),0,IF(H31&gt;$B$14+TIME($C$14,($C$14-INT($C$14))*60,0),MIN(TIME($C$14,($C$14-INT($C$14))*60,0),($B$14+TIME($C$14,($C$14-INT($C$14))*60,0)-G31)),MIN(IF((H31-$B$14)&lt;0,0,(H31-$B$14)),(H31-G31))))*24,"")-I31,"")</f>
        <v>8.7333333333333325</v>
      </c>
      <c r="K31" s="73">
        <f t="shared" ref="K31" si="26">IF(AND(G31&lt;&gt;"",H31&lt;&gt;""),((IF(G31&lt;$B$14,MIN($B$14-G31,H31-G31),0)+IF(H31&gt;$B$14+TIME($C$14,($C$14-INT($C$14))*60,0),MIN((H31-$B$14-TIME($C$14,($C$14-INT($C$14))*60,0)),(H31-G31)),0))*24),"")</f>
        <v>0</v>
      </c>
      <c r="L31" s="101">
        <f>G31-B14</f>
        <v>1.1111111111111516E-2</v>
      </c>
      <c r="M31" s="102">
        <f>(D14/60)*16</f>
        <v>10.933333333333334</v>
      </c>
      <c r="N31" s="99">
        <f>IFERROR(J31*IF(AND(ISNUMBER(SEARCH(TEXT(C31,"ddd"),$G$11)),Data!$F$2),$G$14,$D$14)+K31*$G$14,"")</f>
        <v>358.06666666666661</v>
      </c>
      <c r="O31" s="89"/>
    </row>
    <row r="32" spans="2:34">
      <c r="B32" s="69"/>
      <c r="C32" s="70"/>
      <c r="D32" s="71"/>
      <c r="E32" s="143"/>
      <c r="F32" s="143"/>
      <c r="G32" s="74"/>
      <c r="H32" s="75"/>
      <c r="I32" s="73"/>
      <c r="J32" s="73"/>
      <c r="K32" s="73"/>
      <c r="L32" s="110"/>
      <c r="M32" s="112"/>
      <c r="N32" s="99"/>
    </row>
    <row r="33" spans="2:16">
      <c r="B33" s="66"/>
      <c r="C33" s="76"/>
      <c r="D33" s="77"/>
      <c r="E33" s="144"/>
      <c r="F33" s="144"/>
      <c r="G33" s="597" t="s">
        <v>182</v>
      </c>
      <c r="H33" s="598"/>
      <c r="I33" s="80">
        <f>SUM(I17:I31)</f>
        <v>12</v>
      </c>
      <c r="J33" s="80">
        <f>SUM(J17:J31)</f>
        <v>106.38333333333333</v>
      </c>
      <c r="K33" s="80">
        <f>SUM(K17:K31)</f>
        <v>3</v>
      </c>
      <c r="L33" s="110">
        <f>SUM(L17:L31)</f>
        <v>0.31736111111111437</v>
      </c>
      <c r="M33" s="114">
        <f>SUM(M17:M31)</f>
        <v>312.28333333333336</v>
      </c>
      <c r="N33" s="76"/>
    </row>
    <row r="34" spans="2:16">
      <c r="B34" s="66"/>
      <c r="C34" s="76"/>
      <c r="D34" s="77"/>
      <c r="E34" s="144"/>
      <c r="F34" s="144"/>
      <c r="G34" s="81" t="s">
        <v>39</v>
      </c>
      <c r="H34" s="82"/>
      <c r="I34" s="83"/>
      <c r="J34" s="84"/>
      <c r="K34" s="116"/>
      <c r="L34" s="149">
        <f>(D14/60)*457</f>
        <v>312.28333333333336</v>
      </c>
      <c r="M34" s="118"/>
      <c r="N34" s="119">
        <f>H14*D14</f>
        <v>4305</v>
      </c>
      <c r="O34" s="95"/>
      <c r="P34" s="136"/>
    </row>
    <row r="35" spans="2:16">
      <c r="B35" s="65"/>
      <c r="C35" s="65"/>
      <c r="D35" s="85"/>
      <c r="E35" s="85"/>
      <c r="F35" s="85"/>
      <c r="G35" s="592" t="s">
        <v>183</v>
      </c>
      <c r="H35" s="592"/>
      <c r="I35" s="80"/>
      <c r="J35" s="80">
        <f>H14-J33</f>
        <v>-1.3833333333333258</v>
      </c>
      <c r="K35" s="65"/>
      <c r="L35" s="120"/>
      <c r="M35" s="65"/>
      <c r="N35" s="121">
        <f>L34</f>
        <v>312.28333333333336</v>
      </c>
    </row>
    <row r="36" spans="2:16">
      <c r="B36" s="65"/>
      <c r="C36" s="65"/>
      <c r="D36" s="85"/>
      <c r="E36" s="145"/>
      <c r="F36" s="145"/>
      <c r="G36" s="78" t="s">
        <v>41</v>
      </c>
      <c r="H36" s="79"/>
      <c r="I36" s="66"/>
      <c r="J36" s="66"/>
      <c r="K36" s="80"/>
      <c r="L36" s="80"/>
      <c r="M36" s="80"/>
      <c r="N36" s="121">
        <f>SUM(N17:N31)-N37</f>
        <v>4423.2166666666662</v>
      </c>
      <c r="O36" s="95"/>
    </row>
    <row r="37" spans="2:16">
      <c r="B37" s="65"/>
      <c r="C37" s="65"/>
      <c r="D37" s="85"/>
      <c r="E37" s="146"/>
      <c r="F37" s="146"/>
      <c r="G37" s="595" t="s">
        <v>202</v>
      </c>
      <c r="H37" s="596"/>
      <c r="I37" s="80"/>
      <c r="J37" s="66"/>
      <c r="K37" s="122"/>
      <c r="L37" s="122"/>
      <c r="M37" s="122"/>
      <c r="N37" s="123">
        <f>G14*K33</f>
        <v>153.75</v>
      </c>
      <c r="O37" s="95"/>
    </row>
    <row r="38" spans="2:16">
      <c r="B38" s="65"/>
      <c r="C38" s="65"/>
      <c r="D38" s="85"/>
      <c r="E38" s="85"/>
      <c r="F38" s="85"/>
      <c r="G38" s="147" t="s">
        <v>203</v>
      </c>
      <c r="H38" s="147"/>
      <c r="I38" s="80"/>
      <c r="J38" s="66"/>
      <c r="K38" s="80"/>
      <c r="L38" s="80"/>
      <c r="M38" s="80"/>
      <c r="N38" s="115">
        <f>N52</f>
        <v>0</v>
      </c>
    </row>
    <row r="39" spans="2:16">
      <c r="B39" s="65"/>
      <c r="C39" s="65"/>
      <c r="D39" s="85"/>
      <c r="E39" s="145"/>
      <c r="F39" s="145"/>
      <c r="G39" s="597" t="s">
        <v>186</v>
      </c>
      <c r="H39" s="598"/>
      <c r="I39" s="66"/>
      <c r="J39" s="66"/>
      <c r="K39" s="66"/>
      <c r="L39" s="66"/>
      <c r="M39" s="66"/>
      <c r="N39" s="124">
        <f>N36+N37+N38</f>
        <v>4576.9666666666662</v>
      </c>
      <c r="O39" s="95"/>
    </row>
    <row r="40" spans="2:16">
      <c r="D40" s="88"/>
      <c r="E40" s="88"/>
      <c r="F40" s="88"/>
      <c r="G40" s="589"/>
      <c r="H40" s="589"/>
      <c r="I40" s="90"/>
      <c r="J40" s="90"/>
      <c r="K40" s="125"/>
      <c r="L40" s="125"/>
      <c r="M40" s="125"/>
      <c r="N40" s="126"/>
      <c r="O40" s="127"/>
    </row>
    <row r="41" spans="2:16">
      <c r="D41" s="91"/>
      <c r="E41" s="91"/>
      <c r="F41" s="91"/>
    </row>
    <row r="42" spans="2:16">
      <c r="B42" s="590" t="s">
        <v>187</v>
      </c>
      <c r="C42" s="590"/>
      <c r="D42" s="590"/>
      <c r="E42" s="590"/>
      <c r="F42" s="590"/>
      <c r="G42" s="590"/>
      <c r="H42" s="590"/>
      <c r="I42" s="590"/>
      <c r="J42" s="590"/>
      <c r="K42" s="590"/>
      <c r="L42" s="590"/>
      <c r="M42" s="590"/>
      <c r="N42" s="590"/>
    </row>
    <row r="43" spans="2:16">
      <c r="D43" s="91"/>
      <c r="E43" s="91"/>
      <c r="F43" s="91"/>
    </row>
    <row r="44" spans="2:16">
      <c r="D44" s="91" t="s">
        <v>188</v>
      </c>
      <c r="E44" s="91"/>
      <c r="F44" s="91"/>
      <c r="N44" s="95"/>
    </row>
    <row r="45" spans="2:16">
      <c r="D45" s="54" t="s">
        <v>10</v>
      </c>
      <c r="E45" s="54"/>
      <c r="F45" s="54"/>
      <c r="G45" s="54" t="s">
        <v>11</v>
      </c>
      <c r="H45" s="54" t="s">
        <v>12</v>
      </c>
      <c r="I45" s="55" t="s">
        <v>13</v>
      </c>
    </row>
    <row r="46" spans="2:16">
      <c r="D46" s="56">
        <v>2022</v>
      </c>
      <c r="E46" s="56"/>
      <c r="F46" s="56"/>
      <c r="G46" s="56" t="s">
        <v>189</v>
      </c>
      <c r="H46" s="56">
        <v>26</v>
      </c>
      <c r="I46" s="56" t="s">
        <v>15</v>
      </c>
    </row>
    <row r="47" spans="2:16">
      <c r="D47" s="57"/>
      <c r="E47" s="57"/>
      <c r="F47" s="57"/>
      <c r="G47" s="57"/>
    </row>
    <row r="48" spans="2:16" ht="33.75">
      <c r="D48" s="58" t="s">
        <v>16</v>
      </c>
      <c r="E48" s="58"/>
      <c r="F48" s="58"/>
      <c r="G48" s="58" t="s">
        <v>17</v>
      </c>
      <c r="H48" s="58" t="s">
        <v>18</v>
      </c>
      <c r="I48" s="58" t="s">
        <v>19</v>
      </c>
    </row>
    <row r="49" spans="3:14">
      <c r="D49" s="61">
        <v>0.33333333333333298</v>
      </c>
      <c r="E49" s="61"/>
      <c r="F49" s="61"/>
      <c r="G49" s="62">
        <v>9</v>
      </c>
      <c r="H49" s="63">
        <f>D14</f>
        <v>41</v>
      </c>
      <c r="I49" s="130">
        <f>(H49*30%)+H49</f>
        <v>53.3</v>
      </c>
    </row>
    <row r="51" spans="3:14">
      <c r="C51" s="131" t="s">
        <v>20</v>
      </c>
      <c r="D51" s="131" t="s">
        <v>12</v>
      </c>
      <c r="E51" s="131"/>
      <c r="F51" s="131"/>
      <c r="G51" s="131" t="s">
        <v>21</v>
      </c>
      <c r="H51" s="131" t="s">
        <v>22</v>
      </c>
      <c r="I51" s="131" t="s">
        <v>23</v>
      </c>
      <c r="J51" s="131" t="s">
        <v>24</v>
      </c>
      <c r="K51" s="131" t="s">
        <v>25</v>
      </c>
      <c r="L51" s="131"/>
      <c r="M51" s="131"/>
      <c r="N51" s="131" t="s">
        <v>26</v>
      </c>
    </row>
    <row r="52" spans="3:14">
      <c r="C52" s="70" t="s">
        <v>210</v>
      </c>
      <c r="D52" s="71">
        <f>DATE($B$11,MATCH($G$46,Data!$B$2:$B$13,0),ADELANTAR!$H$46)</f>
        <v>45530</v>
      </c>
      <c r="E52" s="71"/>
      <c r="F52" s="71"/>
      <c r="G52" s="72">
        <v>0</v>
      </c>
      <c r="H52" s="72">
        <v>0</v>
      </c>
      <c r="I52" s="73">
        <v>0</v>
      </c>
      <c r="J52" s="73">
        <v>0</v>
      </c>
      <c r="K52" s="73">
        <v>0</v>
      </c>
      <c r="L52" s="73"/>
      <c r="M52" s="73"/>
      <c r="N52" s="99">
        <f>J52*H49</f>
        <v>0</v>
      </c>
    </row>
    <row r="53" spans="3:14">
      <c r="C53" s="70" t="s">
        <v>218</v>
      </c>
      <c r="D53" s="71">
        <f>D52+1</f>
        <v>45531</v>
      </c>
      <c r="E53" s="71"/>
      <c r="F53" s="71"/>
      <c r="G53" s="72">
        <v>0</v>
      </c>
      <c r="H53" s="72">
        <v>0</v>
      </c>
      <c r="I53" s="73"/>
      <c r="J53" s="73">
        <v>0</v>
      </c>
      <c r="K53" s="73">
        <v>0</v>
      </c>
      <c r="L53" s="73"/>
      <c r="M53" s="73"/>
      <c r="N53" s="99">
        <v>0</v>
      </c>
    </row>
    <row r="54" spans="3:14"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137"/>
    </row>
    <row r="55" spans="3:14">
      <c r="N55" s="138"/>
    </row>
    <row r="56" spans="3:14">
      <c r="N56" s="138"/>
    </row>
    <row r="57" spans="3:14">
      <c r="C57" s="132" t="s">
        <v>190</v>
      </c>
      <c r="N57" s="138"/>
    </row>
    <row r="58" spans="3:14">
      <c r="N58" s="138"/>
    </row>
    <row r="59" spans="3:14">
      <c r="D59" s="591">
        <v>44981</v>
      </c>
      <c r="E59" s="591"/>
      <c r="F59" s="591"/>
      <c r="G59" s="88"/>
      <c r="H59" s="148" t="s">
        <v>280</v>
      </c>
      <c r="I59" s="254"/>
      <c r="N59" s="138"/>
    </row>
    <row r="60" spans="3:14">
      <c r="E60" s="88"/>
      <c r="F60" s="88"/>
      <c r="G60" s="256">
        <f>G59*H60</f>
        <v>0</v>
      </c>
      <c r="H60" s="253">
        <v>0.3</v>
      </c>
      <c r="I60" s="254"/>
      <c r="N60" s="138"/>
    </row>
    <row r="61" spans="3:14">
      <c r="E61" s="91"/>
      <c r="F61" s="91"/>
      <c r="G61" s="91"/>
      <c r="N61" s="138"/>
    </row>
    <row r="62" spans="3:14">
      <c r="E62" s="91"/>
      <c r="F62" s="91"/>
      <c r="G62" s="91"/>
      <c r="H62" s="257">
        <f>G60</f>
        <v>0</v>
      </c>
      <c r="N62" s="138"/>
    </row>
    <row r="63" spans="3:14">
      <c r="D63" s="132"/>
      <c r="E63" s="132"/>
      <c r="F63" s="132"/>
      <c r="G63" s="133"/>
      <c r="H63" s="133"/>
      <c r="I63" s="133"/>
      <c r="N63" s="138"/>
    </row>
    <row r="64" spans="3:14">
      <c r="N64" s="138"/>
    </row>
    <row r="65" spans="3:9">
      <c r="D65" s="132"/>
      <c r="E65" s="132"/>
      <c r="F65" s="132"/>
      <c r="G65" s="133"/>
      <c r="H65" s="133"/>
      <c r="I65" s="133"/>
    </row>
    <row r="66" spans="3:9">
      <c r="D66" s="132"/>
      <c r="E66" s="132"/>
      <c r="F66" s="132"/>
      <c r="G66" s="133"/>
      <c r="H66" s="133"/>
      <c r="I66" s="133"/>
    </row>
    <row r="67" spans="3:9">
      <c r="E67" s="132"/>
      <c r="F67" s="132"/>
      <c r="G67" s="133"/>
      <c r="H67" s="133"/>
      <c r="I67" s="133"/>
    </row>
    <row r="68" spans="3:9">
      <c r="G68" s="606"/>
      <c r="H68" s="606"/>
    </row>
    <row r="71" spans="3:9">
      <c r="C71" s="91" t="s">
        <v>141</v>
      </c>
    </row>
    <row r="72" spans="3:9">
      <c r="C72" t="s">
        <v>66</v>
      </c>
    </row>
    <row r="73" spans="3:9">
      <c r="C73" s="91"/>
    </row>
  </sheetData>
  <mergeCells count="14">
    <mergeCell ref="G40:H40"/>
    <mergeCell ref="B42:N42"/>
    <mergeCell ref="G68:H68"/>
    <mergeCell ref="O22:Q22"/>
    <mergeCell ref="G33:H33"/>
    <mergeCell ref="G35:H35"/>
    <mergeCell ref="G37:H37"/>
    <mergeCell ref="G39:H39"/>
    <mergeCell ref="D59:F59"/>
    <mergeCell ref="A6:N6"/>
    <mergeCell ref="C7:D7"/>
    <mergeCell ref="L7:N7"/>
    <mergeCell ref="C8:D8"/>
    <mergeCell ref="L8:N8"/>
  </mergeCells>
  <conditionalFormatting sqref="C17:F31">
    <cfRule type="expression" dxfId="19" priority="2">
      <formula>ISNUMBER(SEARCH(TEXT($C17,"ddd"),$G$11))</formula>
    </cfRule>
  </conditionalFormatting>
  <conditionalFormatting sqref="G22:G31">
    <cfRule type="expression" dxfId="18" priority="25">
      <formula>ISNUMBER(SEARCH(TEXT($C22,"ddd"),$G$11))</formula>
    </cfRule>
  </conditionalFormatting>
  <conditionalFormatting sqref="G17:K20 G21:I21 K21 I29:L29">
    <cfRule type="expression" dxfId="17" priority="46">
      <formula>ISNUMBER(SEARCH(TEXT($C17,"ddd"),$G$11))</formula>
    </cfRule>
  </conditionalFormatting>
  <conditionalFormatting sqref="H24:H31">
    <cfRule type="expression" dxfId="16" priority="5">
      <formula>ISNUMBER(SEARCH(TEXT($C24,"ddd"),$G$11))</formula>
    </cfRule>
  </conditionalFormatting>
  <conditionalFormatting sqref="H22:K23 I24:K28 I30:K31">
    <cfRule type="expression" dxfId="15" priority="31">
      <formula>ISNUMBER(SEARCH(TEXT($C22,"ddd"),$G$11))</formula>
    </cfRule>
  </conditionalFormatting>
  <conditionalFormatting sqref="J21">
    <cfRule type="expression" dxfId="14" priority="1">
      <formula>ISNUMBER(SEARCH(TEXT($C21,"ddd"),$G$10))</formula>
    </cfRule>
  </conditionalFormatting>
  <conditionalFormatting sqref="N17:N32 C32:L32 L33 C52:N53">
    <cfRule type="expression" dxfId="13" priority="43">
      <formula>ISNUMBER(SEARCH(TEXT($C17,"ddd"),$G$11))</formula>
    </cfRule>
  </conditionalFormatting>
  <dataValidations count="3">
    <dataValidation type="custom" allowBlank="1" showInputMessage="1" showErrorMessage="1" sqref="G52:G53 G17:G32 E17:F31" xr:uid="{00000000-0002-0000-3400-000000000000}">
      <formula1>AND($G17&lt;=1,ISNUMBER($G17))</formula1>
    </dataValidation>
    <dataValidation type="list" allowBlank="1" showInputMessage="1" showErrorMessage="1" sqref="H46 D11:F11" xr:uid="{00000000-0002-0000-3400-000001000000}">
      <formula1>DateCalc</formula1>
    </dataValidation>
    <dataValidation type="custom" allowBlank="1" showInputMessage="1" showErrorMessage="1" sqref="H52:H53 H17:H32" xr:uid="{00000000-0002-0000-3400-000002000000}">
      <formula1>AND($H17&lt;=1,ISNUMBER($H17),($H17&gt;=$G17))</formula1>
    </dataValidation>
  </dataValidations>
  <pageMargins left="0.25" right="0.25" top="0.3125" bottom="0.227083333333333" header="0.29861111111111099" footer="0.29861111111111099"/>
  <pageSetup paperSize="9" scale="91" orientation="landscape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9809" r:id="rId4" name="Check Box 1">
              <controlPr defaultSize="0" print="0" autoPict="0">
                <anchor moveWithCells="1">
                  <from>
                    <xdr:col>7</xdr:col>
                    <xdr:colOff>180975</xdr:colOff>
                    <xdr:row>9</xdr:row>
                    <xdr:rowOff>28575</xdr:rowOff>
                  </from>
                  <to>
                    <xdr:col>8</xdr:col>
                    <xdr:colOff>571500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3400-000003000000}">
          <x14:formula1>
            <xm:f>Data!$A$2:$A$12</xm:f>
          </x14:formula1>
          <xm:sqref>D46:F46 B11</xm:sqref>
        </x14:dataValidation>
        <x14:dataValidation type="list" allowBlank="1" showInputMessage="1" showErrorMessage="1" xr:uid="{00000000-0002-0000-3400-000004000000}">
          <x14:formula1>
            <xm:f>Data!$D$2:$D$16</xm:f>
          </x14:formula1>
          <xm:sqref>G11 I46</xm:sqref>
        </x14:dataValidation>
        <x14:dataValidation type="list" allowBlank="1" showInputMessage="1" showErrorMessage="1" xr:uid="{00000000-0002-0000-3400-000005000000}">
          <x14:formula1>
            <xm:f>Data!$B$2:$B$13</xm:f>
          </x14:formula1>
          <xm:sqref>G46 C11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5:AH85"/>
  <sheetViews>
    <sheetView showGridLines="0" view="pageLayout" topLeftCell="A10" zoomScaleNormal="100" workbookViewId="0">
      <selection activeCell="L34" sqref="L34"/>
    </sheetView>
  </sheetViews>
  <sheetFormatPr defaultColWidth="9" defaultRowHeight="12.75"/>
  <cols>
    <col min="1" max="1" width="1.625" customWidth="1"/>
    <col min="2" max="2" width="5.375" customWidth="1"/>
    <col min="3" max="3" width="7.125" customWidth="1"/>
    <col min="4" max="6" width="7.625" customWidth="1"/>
    <col min="7" max="7" width="10.125" customWidth="1"/>
    <col min="8" max="8" width="9.625" customWidth="1"/>
    <col min="9" max="9" width="8.125" customWidth="1"/>
    <col min="10" max="10" width="10.125" customWidth="1"/>
    <col min="11" max="11" width="7.875" customWidth="1"/>
    <col min="12" max="12" width="10.625" customWidth="1"/>
    <col min="13" max="13" width="10.375" customWidth="1"/>
    <col min="14" max="14" width="10.875" customWidth="1"/>
    <col min="15" max="15" width="16.875" customWidth="1"/>
    <col min="16" max="17" width="9.875"/>
    <col min="18" max="18" width="11.125" customWidth="1"/>
  </cols>
  <sheetData>
    <row r="5" spans="1:15" ht="25.5" customHeight="1"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</row>
    <row r="6" spans="1:15" s="47" customFormat="1" ht="25.5" customHeight="1">
      <c r="A6" s="603"/>
      <c r="B6" s="603"/>
      <c r="C6" s="603"/>
      <c r="D6" s="603"/>
      <c r="E6" s="603"/>
      <c r="F6" s="603"/>
      <c r="G6" s="603"/>
      <c r="H6" s="603"/>
      <c r="I6" s="603"/>
      <c r="J6" s="603"/>
      <c r="K6" s="603"/>
      <c r="L6" s="603"/>
      <c r="M6" s="603"/>
      <c r="N6" s="603"/>
    </row>
    <row r="7" spans="1:15" ht="18.75" customHeight="1">
      <c r="C7" s="527" t="s">
        <v>3</v>
      </c>
      <c r="D7" s="527"/>
      <c r="E7" s="49"/>
      <c r="F7" s="49"/>
      <c r="G7" s="158" t="s">
        <v>197</v>
      </c>
      <c r="H7" s="51"/>
      <c r="K7" s="49" t="s">
        <v>174</v>
      </c>
      <c r="M7" s="599" t="str">
        <f>PAALAN!L7</f>
        <v>September  11-25, 2026</v>
      </c>
      <c r="N7" s="599"/>
      <c r="O7" s="599"/>
    </row>
    <row r="8" spans="1:15" ht="18.75" customHeight="1">
      <c r="C8" s="527" t="s">
        <v>175</v>
      </c>
      <c r="D8" s="527"/>
      <c r="E8" s="49"/>
      <c r="F8" s="49"/>
      <c r="G8" s="50" t="s">
        <v>198</v>
      </c>
      <c r="H8" s="51"/>
      <c r="K8" s="49" t="s">
        <v>176</v>
      </c>
      <c r="L8" s="92"/>
      <c r="M8" s="600" t="str">
        <f>PAALAN!L8</f>
        <v>9/31/2026</v>
      </c>
      <c r="N8" s="600"/>
      <c r="O8" s="600"/>
    </row>
    <row r="9" spans="1:15">
      <c r="C9" s="52"/>
      <c r="D9" s="53"/>
      <c r="E9" s="53"/>
      <c r="F9" s="53"/>
      <c r="G9" s="53"/>
    </row>
    <row r="10" spans="1:15">
      <c r="B10" s="54" t="s">
        <v>10</v>
      </c>
      <c r="C10" s="54" t="s">
        <v>11</v>
      </c>
      <c r="D10" s="54" t="s">
        <v>12</v>
      </c>
      <c r="E10" s="54"/>
      <c r="F10" s="54"/>
      <c r="G10" s="55" t="s">
        <v>13</v>
      </c>
    </row>
    <row r="11" spans="1:15">
      <c r="B11" s="56">
        <v>2024</v>
      </c>
      <c r="C11" s="56" t="s">
        <v>264</v>
      </c>
      <c r="D11" s="56">
        <v>11</v>
      </c>
      <c r="E11" s="56"/>
      <c r="F11" s="56"/>
      <c r="G11" s="56" t="s">
        <v>178</v>
      </c>
    </row>
    <row r="12" spans="1:15">
      <c r="B12" s="57"/>
      <c r="C12" s="57"/>
      <c r="H12" s="57"/>
      <c r="K12" s="57"/>
      <c r="L12" s="57"/>
      <c r="M12" s="57"/>
    </row>
    <row r="13" spans="1:15" ht="32.1" customHeight="1">
      <c r="B13" s="159" t="s">
        <v>16</v>
      </c>
      <c r="C13" s="159" t="s">
        <v>17</v>
      </c>
      <c r="D13" s="159" t="s">
        <v>18</v>
      </c>
      <c r="E13" s="160"/>
      <c r="F13" s="160"/>
      <c r="G13" s="160" t="s">
        <v>19</v>
      </c>
      <c r="H13" s="161" t="s">
        <v>179</v>
      </c>
      <c r="L13" s="93"/>
      <c r="M13" s="93"/>
      <c r="N13" s="94"/>
    </row>
    <row r="14" spans="1:15">
      <c r="B14" s="61">
        <v>0.33333333333333298</v>
      </c>
      <c r="C14" s="62">
        <v>10</v>
      </c>
      <c r="D14" s="63">
        <f>(16082.56/26)/8</f>
        <v>77.319999999999993</v>
      </c>
      <c r="E14" s="142"/>
      <c r="F14" s="142"/>
      <c r="G14" s="64">
        <f>(D14*25%)+D14</f>
        <v>96.649999999999991</v>
      </c>
      <c r="H14" s="65">
        <v>105</v>
      </c>
      <c r="I14" s="95"/>
      <c r="L14" s="57"/>
      <c r="M14" s="57"/>
      <c r="N14" s="95"/>
    </row>
    <row r="15" spans="1:15">
      <c r="N15" s="96"/>
    </row>
    <row r="16" spans="1:15" ht="23.25">
      <c r="B16" s="66"/>
      <c r="C16" s="67" t="s">
        <v>20</v>
      </c>
      <c r="D16" s="67" t="s">
        <v>12</v>
      </c>
      <c r="E16" s="67"/>
      <c r="F16" s="67"/>
      <c r="G16" s="67" t="s">
        <v>21</v>
      </c>
      <c r="H16" s="67" t="s">
        <v>22</v>
      </c>
      <c r="I16" s="68" t="s">
        <v>23</v>
      </c>
      <c r="J16" s="68" t="s">
        <v>24</v>
      </c>
      <c r="K16" s="68" t="s">
        <v>25</v>
      </c>
      <c r="L16" s="67" t="s">
        <v>180</v>
      </c>
      <c r="M16" s="134" t="s">
        <v>181</v>
      </c>
      <c r="N16" s="67" t="s">
        <v>26</v>
      </c>
    </row>
    <row r="17" spans="2:34">
      <c r="B17" s="69">
        <v>1</v>
      </c>
      <c r="C17" s="70">
        <v>45362</v>
      </c>
      <c r="D17" s="71">
        <v>45362</v>
      </c>
      <c r="E17" s="72">
        <v>0.34027777777777773</v>
      </c>
      <c r="F17" s="72">
        <v>6.9444444444444441E-3</v>
      </c>
      <c r="G17" s="72">
        <f t="shared" ref="G17:G18" si="0">E17-F17</f>
        <v>0.33333333333333331</v>
      </c>
      <c r="H17" s="72">
        <v>0.75</v>
      </c>
      <c r="I17" s="73">
        <v>1</v>
      </c>
      <c r="J17" s="73">
        <f t="shared" ref="J17:J18" si="1">IFERROR(IF(AND(G17&lt;&gt;"",H17&lt;&gt;""),IF(G17&gt;$B$14+TIME($C$14,($C$14-INT($C$14))*60,0),0,IF(H17&gt;$B$14+TIME($C$14,($C$14-INT($C$14))*60,0),MIN(TIME($C$14,($C$14-INT($C$14))*60,0),($B$14+TIME($C$14,($C$14-INT($C$14))*60,0)-G17)),MIN(IF((H17-$B$14)&lt;0,0,(H17-$B$14)),(H17-G17))))*24,"")-I17,"")</f>
        <v>9</v>
      </c>
      <c r="K17" s="73">
        <f t="shared" ref="K17:K18" si="2">IF(AND(G17&lt;&gt;"",H17&lt;&gt;""),((IF(G17&lt;$B$14,MIN($B$14-G17,H17-G17),0)+IF(H17&gt;$B$14+TIME($C$14,($C$14-INT($C$14))*60,0),MIN((H17-$B$14-TIME($C$14,($C$14-INT($C$14))*60,0)),(H17-G17)),0))*24),"")</f>
        <v>0</v>
      </c>
      <c r="L17" s="101">
        <f>G17-B14</f>
        <v>0</v>
      </c>
      <c r="M17" s="102">
        <f>(D14/60)*0</f>
        <v>0</v>
      </c>
      <c r="N17" s="99">
        <v>695.87999999999988</v>
      </c>
      <c r="O17" s="141">
        <f t="shared" ref="O17:O30" si="3">M17+N17</f>
        <v>695.87999999999988</v>
      </c>
      <c r="P17" s="100"/>
      <c r="Q17" s="89"/>
    </row>
    <row r="18" spans="2:34">
      <c r="B18" s="69">
        <v>2</v>
      </c>
      <c r="C18" s="70">
        <f t="shared" ref="C18:C31" si="4">C17+1</f>
        <v>45363</v>
      </c>
      <c r="D18" s="71">
        <f t="shared" ref="D18:D31" si="5">D17+1</f>
        <v>45363</v>
      </c>
      <c r="E18" s="72">
        <v>0.36388888888888887</v>
      </c>
      <c r="F18" s="72">
        <v>6.9444444444444441E-3</v>
      </c>
      <c r="G18" s="72">
        <f t="shared" si="0"/>
        <v>0.35694444444444445</v>
      </c>
      <c r="H18" s="72">
        <v>0.75</v>
      </c>
      <c r="I18" s="73">
        <v>1</v>
      </c>
      <c r="J18" s="73">
        <f t="shared" si="1"/>
        <v>8.4333333333333336</v>
      </c>
      <c r="K18" s="73">
        <f t="shared" si="2"/>
        <v>0</v>
      </c>
      <c r="L18" s="101">
        <f>G18-B14</f>
        <v>2.3611111111111471E-2</v>
      </c>
      <c r="M18" s="102">
        <f>(D14/60)*34</f>
        <v>43.814666666666668</v>
      </c>
      <c r="N18" s="99">
        <v>652.06533333333334</v>
      </c>
      <c r="O18" s="141">
        <f t="shared" si="3"/>
        <v>695.88</v>
      </c>
      <c r="P18" s="89"/>
      <c r="Q18" s="89"/>
    </row>
    <row r="19" spans="2:34">
      <c r="B19" s="69">
        <v>3</v>
      </c>
      <c r="C19" s="70">
        <f t="shared" si="4"/>
        <v>45364</v>
      </c>
      <c r="D19" s="71">
        <f t="shared" si="5"/>
        <v>45364</v>
      </c>
      <c r="E19" s="72">
        <v>0.37083333333333335</v>
      </c>
      <c r="F19" s="72">
        <v>6.9444444444444441E-3</v>
      </c>
      <c r="G19" s="72">
        <f t="shared" ref="G19" si="6">E19-F19</f>
        <v>0.36388888888888893</v>
      </c>
      <c r="H19" s="72">
        <v>0.75</v>
      </c>
      <c r="I19" s="73">
        <v>1</v>
      </c>
      <c r="J19" s="73">
        <f t="shared" ref="J19" si="7">IFERROR(IF(AND(G19&lt;&gt;"",H19&lt;&gt;""),IF(G19&gt;$B$14+TIME($C$14,($C$14-INT($C$14))*60,0),0,IF(H19&gt;$B$14+TIME($C$14,($C$14-INT($C$14))*60,0),MIN(TIME($C$14,($C$14-INT($C$14))*60,0),($B$14+TIME($C$14,($C$14-INT($C$14))*60,0)-G19)),MIN(IF((H19-$B$14)&lt;0,0,(H19-$B$14)),(H19-G19))))*24,"")-I19,"")</f>
        <v>8.2666666666666657</v>
      </c>
      <c r="K19" s="73">
        <f t="shared" ref="K19" si="8">IF(AND(G19&lt;&gt;"",H19&lt;&gt;""),((IF(G19&lt;$B$14,MIN($B$14-G19,H19-G19),0)+IF(H19&gt;$B$14+TIME($C$14,($C$14-INT($C$14))*60,0),MIN((H19-$B$14-TIME($C$14,($C$14-INT($C$14))*60,0)),(H19-G19)),0))*24),"")</f>
        <v>0</v>
      </c>
      <c r="L19" s="101">
        <f>G19-B14</f>
        <v>3.0555555555555947E-2</v>
      </c>
      <c r="M19" s="102">
        <f>(D14/60)*44</f>
        <v>56.701333333333331</v>
      </c>
      <c r="N19" s="99">
        <v>639.17866666666657</v>
      </c>
      <c r="O19" s="141">
        <f t="shared" si="3"/>
        <v>695.87999999999988</v>
      </c>
      <c r="P19" s="100"/>
      <c r="Q19" s="104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</row>
    <row r="20" spans="2:34">
      <c r="B20" s="69">
        <v>4</v>
      </c>
      <c r="C20" s="70">
        <f t="shared" si="4"/>
        <v>45365</v>
      </c>
      <c r="D20" s="71">
        <f t="shared" si="5"/>
        <v>45365</v>
      </c>
      <c r="E20" s="72">
        <v>0.36527777777777781</v>
      </c>
      <c r="F20" s="72">
        <v>6.9444444444444441E-3</v>
      </c>
      <c r="G20" s="72">
        <f t="shared" ref="G20:G22" si="9">E20-F20</f>
        <v>0.35833333333333339</v>
      </c>
      <c r="H20" s="72">
        <v>0.75</v>
      </c>
      <c r="I20" s="73">
        <v>1</v>
      </c>
      <c r="J20" s="73">
        <f t="shared" ref="J20:J32" si="10">IFERROR(IF(AND(G20&lt;&gt;"",H20&lt;&gt;""),IF(G20&gt;$B$14+TIME($C$14,($C$14-INT($C$14))*60,0),0,IF(H20&gt;$B$14+TIME($C$14,($C$14-INT($C$14))*60,0),MIN(TIME($C$14,($C$14-INT($C$14))*60,0),($B$14+TIME($C$14,($C$14-INT($C$14))*60,0)-G20)),MIN(IF((H20-$B$14)&lt;0,0,(H20-$B$14)),(H20-G20))))*24,"")-I20,"")</f>
        <v>8.3999999999999986</v>
      </c>
      <c r="K20" s="73">
        <f t="shared" ref="K20:K32" si="11">IF(AND(G20&lt;&gt;"",H20&lt;&gt;""),((IF(G20&lt;$B$14,MIN($B$14-G20,H20-G20),0)+IF(H20&gt;$B$14+TIME($C$14,($C$14-INT($C$14))*60,0),MIN((H20-$B$14-TIME($C$14,($C$14-INT($C$14))*60,0)),(H20-G20)),0))*24),"")</f>
        <v>0</v>
      </c>
      <c r="L20" s="101">
        <f>G20-B14</f>
        <v>2.5000000000000411E-2</v>
      </c>
      <c r="M20" s="102">
        <f>(D14/60)*36</f>
        <v>46.391999999999996</v>
      </c>
      <c r="N20" s="99">
        <v>649.48799999999983</v>
      </c>
      <c r="O20" s="141">
        <f t="shared" si="3"/>
        <v>695.87999999999988</v>
      </c>
      <c r="P20" s="103"/>
      <c r="Q20" s="103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28"/>
    </row>
    <row r="21" spans="2:34">
      <c r="B21" s="69">
        <v>5</v>
      </c>
      <c r="C21" s="70">
        <f t="shared" si="4"/>
        <v>45366</v>
      </c>
      <c r="D21" s="71">
        <f t="shared" si="5"/>
        <v>45366</v>
      </c>
      <c r="E21" s="72">
        <v>0.34027777777777773</v>
      </c>
      <c r="F21" s="72">
        <v>6.9444444444444441E-3</v>
      </c>
      <c r="G21" s="72">
        <f t="shared" ref="G21" si="12">E21-F21</f>
        <v>0.33333333333333331</v>
      </c>
      <c r="H21" s="72">
        <v>0.75</v>
      </c>
      <c r="I21" s="73">
        <v>1</v>
      </c>
      <c r="J21" s="73">
        <f t="shared" ref="J21" si="13">IFERROR(IF(AND(G21&lt;&gt;"",H21&lt;&gt;""),IF(G21&gt;$B$14+TIME($C$14,($C$14-INT($C$14))*60,0),0,IF(H21&gt;$B$14+TIME($C$14,($C$14-INT($C$14))*60,0),MIN(TIME($C$14,($C$14-INT($C$14))*60,0),($B$14+TIME($C$14,($C$14-INT($C$14))*60,0)-G21)),MIN(IF((H21-$B$14)&lt;0,0,(H21-$B$14)),(H21-G21))))*24,"")-I21,"")</f>
        <v>9</v>
      </c>
      <c r="K21" s="73">
        <f t="shared" ref="K21" si="14">IF(AND(G21&lt;&gt;"",H21&lt;&gt;""),((IF(G21&lt;$B$14,MIN($B$14-G21,H21-G21),0)+IF(H21&gt;$B$14+TIME($C$14,($C$14-INT($C$14))*60,0),MIN((H21-$B$14-TIME($C$14,($C$14-INT($C$14))*60,0)),(H21-G21)),0))*24),"")</f>
        <v>0</v>
      </c>
      <c r="L21" s="101">
        <f>G21-B14</f>
        <v>0</v>
      </c>
      <c r="M21" s="102">
        <f>(D14/60)*0</f>
        <v>0</v>
      </c>
      <c r="N21" s="99">
        <v>695.87999999999988</v>
      </c>
      <c r="O21" s="141">
        <f t="shared" si="3"/>
        <v>695.87999999999988</v>
      </c>
      <c r="P21" s="162"/>
      <c r="Q21" s="108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4"/>
    </row>
    <row r="22" spans="2:34">
      <c r="B22" s="69">
        <v>6</v>
      </c>
      <c r="C22" s="70">
        <f t="shared" si="4"/>
        <v>45367</v>
      </c>
      <c r="D22" s="71">
        <f t="shared" si="5"/>
        <v>45367</v>
      </c>
      <c r="E22" s="72">
        <v>0.38194444444444442</v>
      </c>
      <c r="F22" s="72">
        <v>6.9444444444444441E-3</v>
      </c>
      <c r="G22" s="72">
        <f t="shared" si="9"/>
        <v>0.375</v>
      </c>
      <c r="H22" s="72">
        <v>0.5</v>
      </c>
      <c r="I22" s="73">
        <v>1</v>
      </c>
      <c r="J22" s="73">
        <f t="shared" si="10"/>
        <v>2</v>
      </c>
      <c r="K22" s="73">
        <f t="shared" si="11"/>
        <v>0</v>
      </c>
      <c r="L22" s="101">
        <v>0</v>
      </c>
      <c r="M22" s="102">
        <f>(D14/60)*0</f>
        <v>0</v>
      </c>
      <c r="N22" s="99">
        <v>154.63999999999999</v>
      </c>
      <c r="O22" s="141">
        <f t="shared" si="3"/>
        <v>154.63999999999999</v>
      </c>
      <c r="P22" s="163">
        <f>O21-O22</f>
        <v>541.2399999999999</v>
      </c>
      <c r="Q22" s="135"/>
      <c r="R22" s="96">
        <v>0.40486111111111101</v>
      </c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4"/>
    </row>
    <row r="23" spans="2:34">
      <c r="B23" s="69"/>
      <c r="C23" s="70">
        <f t="shared" si="4"/>
        <v>45368</v>
      </c>
      <c r="D23" s="71">
        <f t="shared" si="5"/>
        <v>45368</v>
      </c>
      <c r="E23" s="72">
        <v>0</v>
      </c>
      <c r="F23" s="72">
        <v>0</v>
      </c>
      <c r="G23" s="72">
        <f t="shared" ref="G23:G30" si="15">E23-F23</f>
        <v>0</v>
      </c>
      <c r="H23" s="72">
        <v>0</v>
      </c>
      <c r="I23" s="73">
        <v>0</v>
      </c>
      <c r="J23" s="73">
        <f t="shared" si="10"/>
        <v>0</v>
      </c>
      <c r="K23" s="73">
        <f t="shared" si="11"/>
        <v>0</v>
      </c>
      <c r="L23" s="97">
        <v>0</v>
      </c>
      <c r="M23" s="98">
        <v>0</v>
      </c>
      <c r="N23" s="99">
        <v>0</v>
      </c>
      <c r="O23" s="141">
        <f t="shared" si="3"/>
        <v>0</v>
      </c>
      <c r="P23" s="150"/>
      <c r="Q23" s="89"/>
      <c r="R23" s="96">
        <v>1.0416666666666701E-2</v>
      </c>
    </row>
    <row r="24" spans="2:34">
      <c r="B24" s="69">
        <v>7</v>
      </c>
      <c r="C24" s="70">
        <f t="shared" si="4"/>
        <v>45369</v>
      </c>
      <c r="D24" s="71">
        <f t="shared" si="5"/>
        <v>45369</v>
      </c>
      <c r="E24" s="72">
        <v>0.36388888888888887</v>
      </c>
      <c r="F24" s="72">
        <v>6.9444444444444441E-3</v>
      </c>
      <c r="G24" s="72">
        <f t="shared" ref="G24" si="16">E24-F24</f>
        <v>0.35694444444444445</v>
      </c>
      <c r="H24" s="72">
        <v>0.75</v>
      </c>
      <c r="I24" s="73">
        <v>1</v>
      </c>
      <c r="J24" s="73">
        <f t="shared" ref="J24" si="17">IFERROR(IF(AND(G24&lt;&gt;"",H24&lt;&gt;""),IF(G24&gt;$B$14+TIME($C$14,($C$14-INT($C$14))*60,0),0,IF(H24&gt;$B$14+TIME($C$14,($C$14-INT($C$14))*60,0),MIN(TIME($C$14,($C$14-INT($C$14))*60,0),($B$14+TIME($C$14,($C$14-INT($C$14))*60,0)-G24)),MIN(IF((H24-$B$14)&lt;0,0,(H24-$B$14)),(H24-G24))))*24,"")-I24,"")</f>
        <v>8.4333333333333336</v>
      </c>
      <c r="K24" s="73">
        <f t="shared" ref="K24" si="18">IF(AND(G24&lt;&gt;"",H24&lt;&gt;""),((IF(G24&lt;$B$14,MIN($B$14-G24,H24-G24),0)+IF(H24&gt;$B$14+TIME($C$14,($C$14-INT($C$14))*60,0),MIN((H24-$B$14-TIME($C$14,($C$14-INT($C$14))*60,0)),(H24-G24)),0))*24),"")</f>
        <v>0</v>
      </c>
      <c r="L24" s="101">
        <f>G24-B14</f>
        <v>2.3611111111111471E-2</v>
      </c>
      <c r="M24" s="102">
        <f>(D14/60)*34</f>
        <v>43.814666666666668</v>
      </c>
      <c r="N24" s="99">
        <v>652.06533333333334</v>
      </c>
      <c r="O24" s="141">
        <f t="shared" si="3"/>
        <v>695.88</v>
      </c>
      <c r="P24" s="155"/>
      <c r="Q24" s="89"/>
      <c r="R24" s="129">
        <f>R22-R23</f>
        <v>0.39444444444444432</v>
      </c>
    </row>
    <row r="25" spans="2:34">
      <c r="B25" s="69">
        <v>8</v>
      </c>
      <c r="C25" s="70">
        <f t="shared" si="4"/>
        <v>45370</v>
      </c>
      <c r="D25" s="71">
        <f t="shared" si="5"/>
        <v>45370</v>
      </c>
      <c r="E25" s="72">
        <v>0.36527777777777781</v>
      </c>
      <c r="F25" s="72">
        <v>6.9444444444444441E-3</v>
      </c>
      <c r="G25" s="72">
        <f t="shared" si="15"/>
        <v>0.35833333333333339</v>
      </c>
      <c r="H25" s="72">
        <v>0.75</v>
      </c>
      <c r="I25" s="73">
        <v>0</v>
      </c>
      <c r="J25" s="73">
        <f t="shared" si="10"/>
        <v>9.3999999999999986</v>
      </c>
      <c r="K25" s="73">
        <f t="shared" si="11"/>
        <v>0</v>
      </c>
      <c r="L25" s="101">
        <f>G25-B14</f>
        <v>2.5000000000000411E-2</v>
      </c>
      <c r="M25" s="102">
        <f>(D14/60)*36</f>
        <v>46.391999999999996</v>
      </c>
      <c r="N25" s="111">
        <v>726.80799999999988</v>
      </c>
      <c r="O25" s="141">
        <f t="shared" si="3"/>
        <v>773.19999999999982</v>
      </c>
      <c r="P25" s="89"/>
      <c r="Q25" s="89"/>
    </row>
    <row r="26" spans="2:34">
      <c r="B26" s="69">
        <v>9</v>
      </c>
      <c r="C26" s="70">
        <f t="shared" si="4"/>
        <v>45371</v>
      </c>
      <c r="D26" s="71">
        <f t="shared" si="5"/>
        <v>45371</v>
      </c>
      <c r="E26" s="72">
        <v>0.34027777777777773</v>
      </c>
      <c r="F26" s="72">
        <v>6.9444444444444441E-3</v>
      </c>
      <c r="G26" s="72">
        <f t="shared" ref="G26" si="19">E26-F26</f>
        <v>0.33333333333333331</v>
      </c>
      <c r="H26" s="72">
        <v>0.75</v>
      </c>
      <c r="I26" s="73">
        <v>1</v>
      </c>
      <c r="J26" s="73">
        <f t="shared" ref="J26" si="20">IFERROR(IF(AND(G26&lt;&gt;"",H26&lt;&gt;""),IF(G26&gt;$B$14+TIME($C$14,($C$14-INT($C$14))*60,0),0,IF(H26&gt;$B$14+TIME($C$14,($C$14-INT($C$14))*60,0),MIN(TIME($C$14,($C$14-INT($C$14))*60,0),($B$14+TIME($C$14,($C$14-INT($C$14))*60,0)-G26)),MIN(IF((H26-$B$14)&lt;0,0,(H26-$B$14)),(H26-G26))))*24,"")-I26,"")</f>
        <v>9</v>
      </c>
      <c r="K26" s="73">
        <f t="shared" ref="K26" si="21">IF(AND(G26&lt;&gt;"",H26&lt;&gt;""),((IF(G26&lt;$B$14,MIN($B$14-G26,H26-G26),0)+IF(H26&gt;$B$14+TIME($C$14,($C$14-INT($C$14))*60,0),MIN((H26-$B$14-TIME($C$14,($C$14-INT($C$14))*60,0)),(H26-G26)),0))*24),"")</f>
        <v>0</v>
      </c>
      <c r="L26" s="101">
        <f>G26-B14</f>
        <v>0</v>
      </c>
      <c r="M26" s="102">
        <f>(D14/60)*0</f>
        <v>0</v>
      </c>
      <c r="N26" s="111">
        <v>695.87999999999988</v>
      </c>
      <c r="O26" s="141">
        <f t="shared" si="3"/>
        <v>695.87999999999988</v>
      </c>
      <c r="P26" s="89"/>
      <c r="Q26" s="89"/>
    </row>
    <row r="27" spans="2:34">
      <c r="B27" s="69">
        <v>10</v>
      </c>
      <c r="C27" s="70">
        <f t="shared" si="4"/>
        <v>45372</v>
      </c>
      <c r="D27" s="71">
        <f t="shared" si="5"/>
        <v>45372</v>
      </c>
      <c r="E27" s="72">
        <v>0.34027777777777773</v>
      </c>
      <c r="F27" s="72">
        <v>6.9444444444444441E-3</v>
      </c>
      <c r="G27" s="72">
        <f t="shared" si="15"/>
        <v>0.33333333333333331</v>
      </c>
      <c r="H27" s="72">
        <v>0.75</v>
      </c>
      <c r="I27" s="73">
        <v>1</v>
      </c>
      <c r="J27" s="73">
        <f t="shared" si="10"/>
        <v>9</v>
      </c>
      <c r="K27" s="73">
        <f t="shared" si="11"/>
        <v>0</v>
      </c>
      <c r="L27" s="110">
        <f>G27-B14</f>
        <v>0</v>
      </c>
      <c r="M27" s="102">
        <f>(D14/60)*0</f>
        <v>0</v>
      </c>
      <c r="N27" s="99">
        <v>695.87999999999988</v>
      </c>
      <c r="O27" s="141">
        <f t="shared" si="3"/>
        <v>695.87999999999988</v>
      </c>
      <c r="P27" s="127"/>
      <c r="Q27" s="89"/>
    </row>
    <row r="28" spans="2:34">
      <c r="B28" s="69">
        <v>11</v>
      </c>
      <c r="C28" s="70">
        <f t="shared" si="4"/>
        <v>45373</v>
      </c>
      <c r="D28" s="71">
        <f t="shared" si="5"/>
        <v>45373</v>
      </c>
      <c r="E28" s="72">
        <v>0.3527777777777778</v>
      </c>
      <c r="F28" s="72">
        <v>6.9444444444444441E-3</v>
      </c>
      <c r="G28" s="72">
        <f t="shared" ref="G28" si="22">E28-F28</f>
        <v>0.34583333333333338</v>
      </c>
      <c r="H28" s="72">
        <v>0.75</v>
      </c>
      <c r="I28" s="73">
        <v>1</v>
      </c>
      <c r="J28" s="73">
        <f t="shared" ref="J28" si="23">IFERROR(IF(AND(G28&lt;&gt;"",H28&lt;&gt;""),IF(G28&gt;$B$14+TIME($C$14,($C$14-INT($C$14))*60,0),0,IF(H28&gt;$B$14+TIME($C$14,($C$14-INT($C$14))*60,0),MIN(TIME($C$14,($C$14-INT($C$14))*60,0),($B$14+TIME($C$14,($C$14-INT($C$14))*60,0)-G28)),MIN(IF((H28-$B$14)&lt;0,0,(H28-$B$14)),(H28-G28))))*24,"")-I28,"")</f>
        <v>8.6999999999999993</v>
      </c>
      <c r="K28" s="73">
        <f t="shared" ref="K28" si="24">IF(AND(G28&lt;&gt;"",H28&lt;&gt;""),((IF(G28&lt;$B$14,MIN($B$14-G28,H28-G28),0)+IF(H28&gt;$B$14+TIME($C$14,($C$14-INT($C$14))*60,0),MIN((H28-$B$14-TIME($C$14,($C$14-INT($C$14))*60,0)),(H28-G28)),0))*24),"")</f>
        <v>0</v>
      </c>
      <c r="L28" s="110">
        <f>(G28-B14)+H27-H28</f>
        <v>1.25000000000004E-2</v>
      </c>
      <c r="M28" s="102">
        <f>(D14/60)*18</f>
        <v>23.195999999999998</v>
      </c>
      <c r="N28" s="99">
        <v>672.68399999999986</v>
      </c>
      <c r="O28" s="141">
        <f t="shared" si="3"/>
        <v>695.87999999999988</v>
      </c>
      <c r="Q28" s="89"/>
    </row>
    <row r="29" spans="2:34">
      <c r="B29" s="69">
        <v>12</v>
      </c>
      <c r="C29" s="70">
        <f t="shared" si="4"/>
        <v>45374</v>
      </c>
      <c r="D29" s="71">
        <f t="shared" si="5"/>
        <v>45374</v>
      </c>
      <c r="E29" s="72">
        <v>0.38194444444444442</v>
      </c>
      <c r="F29" s="72">
        <v>6.9444444444444441E-3</v>
      </c>
      <c r="G29" s="72">
        <f t="shared" si="15"/>
        <v>0.375</v>
      </c>
      <c r="H29" s="72">
        <v>0.5</v>
      </c>
      <c r="I29" s="73">
        <v>1</v>
      </c>
      <c r="J29" s="73">
        <f t="shared" si="10"/>
        <v>2</v>
      </c>
      <c r="K29" s="73">
        <v>0</v>
      </c>
      <c r="L29" s="110">
        <v>0</v>
      </c>
      <c r="M29" s="102">
        <f>(D14/60)*0</f>
        <v>0</v>
      </c>
      <c r="N29" s="99">
        <v>154.63999999999999</v>
      </c>
      <c r="O29" s="141">
        <f>M29+N29</f>
        <v>154.63999999999999</v>
      </c>
      <c r="P29" s="95">
        <f>O28-O29</f>
        <v>541.2399999999999</v>
      </c>
      <c r="Q29" s="89"/>
    </row>
    <row r="30" spans="2:34">
      <c r="B30" s="69"/>
      <c r="C30" s="70">
        <f t="shared" si="4"/>
        <v>45375</v>
      </c>
      <c r="D30" s="71">
        <f t="shared" si="5"/>
        <v>45375</v>
      </c>
      <c r="E30" s="72">
        <v>0</v>
      </c>
      <c r="F30" s="72">
        <v>0</v>
      </c>
      <c r="G30" s="72">
        <f t="shared" si="15"/>
        <v>0</v>
      </c>
      <c r="H30" s="72">
        <v>0</v>
      </c>
      <c r="I30" s="73">
        <v>0</v>
      </c>
      <c r="J30" s="73">
        <f t="shared" si="10"/>
        <v>0</v>
      </c>
      <c r="K30" s="73">
        <f t="shared" si="11"/>
        <v>0</v>
      </c>
      <c r="L30" s="110">
        <f t="shared" ref="L30" si="25">G30-B15</f>
        <v>0</v>
      </c>
      <c r="M30" s="98">
        <v>0</v>
      </c>
      <c r="N30" s="251">
        <v>0</v>
      </c>
      <c r="O30" s="141">
        <f t="shared" si="3"/>
        <v>0</v>
      </c>
      <c r="P30" s="127"/>
      <c r="Q30" s="89"/>
    </row>
    <row r="31" spans="2:34">
      <c r="B31" s="69">
        <v>13</v>
      </c>
      <c r="C31" s="70">
        <f t="shared" si="4"/>
        <v>45376</v>
      </c>
      <c r="D31" s="71">
        <f t="shared" si="5"/>
        <v>45376</v>
      </c>
      <c r="E31" s="72">
        <v>0.37777777777777777</v>
      </c>
      <c r="F31" s="72">
        <v>6.9444444444444441E-3</v>
      </c>
      <c r="G31" s="72">
        <f t="shared" ref="G31" si="26">E31-F31</f>
        <v>0.37083333333333335</v>
      </c>
      <c r="H31" s="72">
        <v>0.75</v>
      </c>
      <c r="I31" s="73">
        <v>1</v>
      </c>
      <c r="J31" s="73">
        <f t="shared" ref="J31" si="27">IFERROR(IF(AND(G31&lt;&gt;"",H31&lt;&gt;""),IF(G31&gt;$B$14+TIME($C$14,($C$14-INT($C$14))*60,0),0,IF(H31&gt;$B$14+TIME($C$14,($C$14-INT($C$14))*60,0),MIN(TIME($C$14,($C$14-INT($C$14))*60,0),($B$14+TIME($C$14,($C$14-INT($C$14))*60,0)-G31)),MIN(IF((H31-$B$14)&lt;0,0,(H31-$B$14)),(H31-G31))))*24,"")-I31,"")</f>
        <v>8.1</v>
      </c>
      <c r="K31" s="73">
        <f t="shared" ref="K31" si="28">IF(AND(G31&lt;&gt;"",H31&lt;&gt;""),((IF(G31&lt;$B$14,MIN($B$14-G31,H31-G31),0)+IF(H31&gt;$B$14+TIME($C$14,($C$14-INT($C$14))*60,0),MIN((H31-$B$14-TIME($C$14,($C$14-INT($C$14))*60,0)),(H31-G31)),0))*24),"")</f>
        <v>0</v>
      </c>
      <c r="L31" s="110">
        <f>G31-B14</f>
        <v>3.7500000000000366E-2</v>
      </c>
      <c r="M31" s="102">
        <f>(D14/60)*54</f>
        <v>69.587999999999994</v>
      </c>
      <c r="N31" s="99">
        <v>626.29199999999992</v>
      </c>
      <c r="O31" s="141">
        <f>M31+N31</f>
        <v>695.87999999999988</v>
      </c>
      <c r="P31" s="95">
        <f>O28-O31</f>
        <v>0</v>
      </c>
    </row>
    <row r="32" spans="2:34">
      <c r="B32" s="69"/>
      <c r="C32" s="70"/>
      <c r="D32" s="71"/>
      <c r="E32" s="71"/>
      <c r="F32" s="71"/>
      <c r="G32" s="72"/>
      <c r="H32" s="72"/>
      <c r="I32" s="73"/>
      <c r="J32" s="73" t="str">
        <f t="shared" si="10"/>
        <v/>
      </c>
      <c r="K32" s="73" t="str">
        <f t="shared" si="11"/>
        <v/>
      </c>
      <c r="L32" s="110"/>
      <c r="M32" s="102"/>
      <c r="N32" s="99"/>
      <c r="O32" s="164"/>
      <c r="P32" s="127"/>
    </row>
    <row r="33" spans="2:17">
      <c r="B33" s="66"/>
      <c r="C33" s="76"/>
      <c r="D33" s="77"/>
      <c r="E33" s="144"/>
      <c r="F33" s="144"/>
      <c r="G33" s="597" t="s">
        <v>182</v>
      </c>
      <c r="H33" s="598"/>
      <c r="I33" s="80">
        <f t="shared" ref="I33:K33" si="29">SUM(I17:I32)</f>
        <v>12</v>
      </c>
      <c r="J33" s="80">
        <f t="shared" si="29"/>
        <v>99.733333333333334</v>
      </c>
      <c r="K33" s="80">
        <f t="shared" si="29"/>
        <v>0</v>
      </c>
      <c r="L33" s="113">
        <f>SUM(L17:L31)</f>
        <v>0.17777777777778048</v>
      </c>
      <c r="M33" s="114">
        <f>SUM(M17:M32)</f>
        <v>329.8986666666666</v>
      </c>
      <c r="N33" s="66"/>
      <c r="O33" s="165">
        <f>SUM(O17:O31)</f>
        <v>8041.28</v>
      </c>
      <c r="P33" s="165">
        <f>SUM(P17:P31)</f>
        <v>1082.4799999999998</v>
      </c>
      <c r="Q33" s="95">
        <f>O33+P33</f>
        <v>9123.76</v>
      </c>
    </row>
    <row r="34" spans="2:17">
      <c r="B34" s="66"/>
      <c r="C34" s="76"/>
      <c r="D34" s="77"/>
      <c r="E34" s="144"/>
      <c r="F34" s="144"/>
      <c r="G34" s="81" t="s">
        <v>39</v>
      </c>
      <c r="H34" s="82"/>
      <c r="I34" s="83"/>
      <c r="J34" s="84"/>
      <c r="K34" s="116"/>
      <c r="L34" s="102">
        <f>((D14/60)*256)</f>
        <v>329.89866666666666</v>
      </c>
      <c r="M34" s="118"/>
      <c r="N34" s="166">
        <f>D14*H14</f>
        <v>8118.5999999999995</v>
      </c>
      <c r="O34" s="95"/>
      <c r="P34" s="95"/>
      <c r="Q34" s="95"/>
    </row>
    <row r="35" spans="2:17">
      <c r="B35" s="65"/>
      <c r="C35" s="65"/>
      <c r="D35" s="85"/>
      <c r="E35" s="85"/>
      <c r="F35" s="85"/>
      <c r="G35" s="592" t="s">
        <v>183</v>
      </c>
      <c r="H35" s="592"/>
      <c r="I35" s="80"/>
      <c r="J35" s="80">
        <f>H14-J33</f>
        <v>5.2666666666666657</v>
      </c>
      <c r="K35" s="65"/>
      <c r="L35" s="120"/>
      <c r="M35" s="65"/>
      <c r="N35" s="121">
        <f>M33</f>
        <v>329.8986666666666</v>
      </c>
      <c r="O35" s="151">
        <f>O33-O34</f>
        <v>8041.28</v>
      </c>
      <c r="P35" s="95"/>
      <c r="Q35" s="95"/>
    </row>
    <row r="36" spans="2:17">
      <c r="B36" s="65"/>
      <c r="C36" s="65"/>
      <c r="D36" s="85"/>
      <c r="E36" s="145"/>
      <c r="F36" s="145"/>
      <c r="G36" s="78" t="s">
        <v>41</v>
      </c>
      <c r="H36" s="79"/>
      <c r="I36" s="66"/>
      <c r="J36" s="66"/>
      <c r="K36" s="80"/>
      <c r="L36" s="80"/>
      <c r="M36" s="80"/>
      <c r="N36" s="121">
        <f>N34-N35</f>
        <v>7788.7013333333325</v>
      </c>
      <c r="O36" s="95"/>
      <c r="P36" s="95"/>
      <c r="Q36" s="95"/>
    </row>
    <row r="37" spans="2:17">
      <c r="B37" s="65"/>
      <c r="C37" s="65"/>
      <c r="D37" s="85"/>
      <c r="E37" s="146"/>
      <c r="F37" s="146"/>
      <c r="G37" s="604" t="s">
        <v>184</v>
      </c>
      <c r="H37" s="605"/>
      <c r="I37" s="80"/>
      <c r="J37" s="66"/>
      <c r="K37" s="122"/>
      <c r="L37" s="122"/>
      <c r="M37" s="122"/>
      <c r="N37" s="123">
        <f>K33*G14</f>
        <v>0</v>
      </c>
      <c r="O37" s="95"/>
    </row>
    <row r="38" spans="2:17">
      <c r="B38" s="65"/>
      <c r="C38" s="65"/>
      <c r="D38" s="85"/>
      <c r="E38" s="146"/>
      <c r="F38" s="146"/>
      <c r="G38" s="86" t="s">
        <v>185</v>
      </c>
      <c r="H38" s="87"/>
      <c r="I38" s="80"/>
      <c r="J38" s="66"/>
      <c r="K38" s="122"/>
      <c r="L38" s="122"/>
      <c r="M38" s="122"/>
      <c r="N38" s="123"/>
      <c r="O38" s="95"/>
    </row>
    <row r="39" spans="2:17">
      <c r="B39" s="65"/>
      <c r="C39" s="65"/>
      <c r="D39" s="85"/>
      <c r="E39" s="145"/>
      <c r="F39" s="145"/>
      <c r="G39" s="597" t="s">
        <v>186</v>
      </c>
      <c r="H39" s="598"/>
      <c r="I39" s="66"/>
      <c r="J39" s="66"/>
      <c r="K39" s="66"/>
      <c r="L39" s="66"/>
      <c r="M39" s="66"/>
      <c r="N39" s="124">
        <f>N36+N37+N38</f>
        <v>7788.7013333333325</v>
      </c>
      <c r="O39" s="95"/>
    </row>
    <row r="40" spans="2:17">
      <c r="D40" s="88"/>
      <c r="E40" s="88"/>
      <c r="F40" s="88"/>
      <c r="G40" s="589"/>
      <c r="H40" s="589"/>
      <c r="I40" s="90"/>
      <c r="J40" s="90"/>
      <c r="K40" s="125"/>
      <c r="L40" s="125"/>
      <c r="M40" s="125"/>
      <c r="N40" s="126"/>
      <c r="O40" s="127"/>
    </row>
    <row r="41" spans="2:17">
      <c r="D41" s="91"/>
      <c r="E41" s="91"/>
      <c r="F41" s="91"/>
      <c r="M41" t="s">
        <v>196</v>
      </c>
    </row>
    <row r="42" spans="2:17">
      <c r="B42" s="590" t="s">
        <v>187</v>
      </c>
      <c r="C42" s="590"/>
      <c r="D42" s="590"/>
      <c r="E42" s="590"/>
      <c r="F42" s="590"/>
      <c r="G42" s="590"/>
      <c r="H42" s="590"/>
      <c r="I42" s="590"/>
      <c r="J42" s="590"/>
      <c r="K42" s="590"/>
      <c r="L42" s="590"/>
      <c r="M42" s="590"/>
      <c r="N42" s="590"/>
    </row>
    <row r="43" spans="2:17">
      <c r="D43" s="91"/>
      <c r="E43" s="91"/>
      <c r="F43" s="91"/>
    </row>
    <row r="44" spans="2:17">
      <c r="D44" s="91" t="s">
        <v>188</v>
      </c>
      <c r="E44" s="91"/>
      <c r="F44" s="91"/>
      <c r="N44" s="95"/>
    </row>
    <row r="45" spans="2:17">
      <c r="D45" s="54" t="s">
        <v>10</v>
      </c>
      <c r="E45" s="54"/>
      <c r="F45" s="54"/>
      <c r="G45" s="54" t="s">
        <v>11</v>
      </c>
      <c r="H45" s="54" t="s">
        <v>12</v>
      </c>
      <c r="I45" s="55" t="s">
        <v>13</v>
      </c>
    </row>
    <row r="46" spans="2:17">
      <c r="D46" s="56">
        <v>2022</v>
      </c>
      <c r="E46" s="56"/>
      <c r="F46" s="56"/>
      <c r="G46" s="56" t="s">
        <v>189</v>
      </c>
      <c r="H46" s="56">
        <v>29</v>
      </c>
      <c r="I46" s="56" t="s">
        <v>15</v>
      </c>
    </row>
    <row r="47" spans="2:17">
      <c r="D47" s="57"/>
      <c r="E47" s="57"/>
      <c r="F47" s="57"/>
      <c r="G47" s="57"/>
    </row>
    <row r="48" spans="2:17" ht="33.75">
      <c r="D48" s="159" t="s">
        <v>16</v>
      </c>
      <c r="E48" s="159"/>
      <c r="F48" s="159"/>
      <c r="G48" s="159" t="s">
        <v>17</v>
      </c>
      <c r="H48" s="159" t="s">
        <v>18</v>
      </c>
      <c r="I48" s="159" t="s">
        <v>19</v>
      </c>
    </row>
    <row r="49" spans="3:14">
      <c r="D49" s="61">
        <v>0.33333333333333298</v>
      </c>
      <c r="E49" s="61"/>
      <c r="F49" s="61"/>
      <c r="G49" s="62">
        <v>9</v>
      </c>
      <c r="H49" s="63">
        <f>D14</f>
        <v>77.319999999999993</v>
      </c>
      <c r="I49" s="130">
        <f>(H49*30%)+H49</f>
        <v>100.51599999999999</v>
      </c>
    </row>
    <row r="51" spans="3:14">
      <c r="C51" s="131" t="s">
        <v>20</v>
      </c>
      <c r="D51" s="131" t="s">
        <v>12</v>
      </c>
      <c r="E51" s="131"/>
      <c r="F51" s="131"/>
      <c r="G51" s="131" t="s">
        <v>21</v>
      </c>
      <c r="H51" s="131" t="s">
        <v>22</v>
      </c>
      <c r="I51" s="131" t="s">
        <v>23</v>
      </c>
      <c r="J51" s="131" t="s">
        <v>24</v>
      </c>
      <c r="K51" s="131" t="s">
        <v>25</v>
      </c>
      <c r="L51" s="131"/>
      <c r="M51" s="131"/>
      <c r="N51" s="131" t="s">
        <v>26</v>
      </c>
    </row>
    <row r="52" spans="3:14">
      <c r="C52" s="70">
        <v>45362</v>
      </c>
      <c r="D52" s="71">
        <v>45533</v>
      </c>
      <c r="E52" s="71"/>
      <c r="F52" s="71"/>
      <c r="G52" s="72">
        <v>0</v>
      </c>
      <c r="H52" s="72">
        <v>0</v>
      </c>
      <c r="I52" s="73"/>
      <c r="J52" s="73">
        <f>IFERROR(IF(AND(G52&lt;&gt;"",H52&lt;&gt;""),IF(G52&gt;$B$14+TIME($C$14,($C$14-INT($C$14))*60,0),0,IF(H52&gt;$B$14+TIME($C$14,($C$14-INT($C$14))*60,0),MIN(TIME($C$14,($C$14-INT($C$14))*60,0),($B$14+TIME($C$14,($C$14-INT($C$14))*60,0)-G52)),MIN(IF((H52-$B$14)&lt;0,0,(H52-$B$14)),(H52-G52))))*24,"")-I52,"")</f>
        <v>0</v>
      </c>
      <c r="K52" s="73">
        <f>IF(AND(G52&lt;&gt;"",H52&lt;&gt;""),((IF(G52&lt;$D$49,MIN($D$49-G52,H52-G52),0)+IF(H52&gt;$D$49+TIME($G$49,($G$49-INT($G$49))*60,0),MIN((H52-$D$49-TIME($G$49,($G$49-INT($G$49))*60,0)),(H52-G52)),0))*24),"")</f>
        <v>0</v>
      </c>
      <c r="L52" s="73"/>
      <c r="M52" s="73"/>
      <c r="N52" s="99">
        <v>0</v>
      </c>
    </row>
    <row r="53" spans="3:14">
      <c r="C53" s="70">
        <f>C52+1</f>
        <v>45363</v>
      </c>
      <c r="D53" s="71">
        <f>D52+1</f>
        <v>45534</v>
      </c>
      <c r="E53" s="71"/>
      <c r="F53" s="71"/>
      <c r="G53" s="72">
        <v>0</v>
      </c>
      <c r="H53" s="72">
        <v>0</v>
      </c>
      <c r="I53" s="73"/>
      <c r="J53" s="73">
        <v>0</v>
      </c>
      <c r="K53" s="73">
        <v>0</v>
      </c>
      <c r="L53" s="73"/>
      <c r="M53" s="73"/>
      <c r="N53" s="99">
        <v>0</v>
      </c>
    </row>
    <row r="54" spans="3:14"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137"/>
    </row>
    <row r="55" spans="3:14">
      <c r="N55" s="138"/>
    </row>
    <row r="56" spans="3:14">
      <c r="N56" s="138"/>
    </row>
    <row r="57" spans="3:14">
      <c r="N57" s="138"/>
    </row>
    <row r="58" spans="3:14">
      <c r="N58" s="138"/>
    </row>
    <row r="59" spans="3:14">
      <c r="N59" s="138"/>
    </row>
    <row r="60" spans="3:14">
      <c r="N60" s="138"/>
    </row>
    <row r="61" spans="3:14">
      <c r="N61" s="138"/>
    </row>
    <row r="62" spans="3:14">
      <c r="N62" s="138"/>
    </row>
    <row r="63" spans="3:14">
      <c r="N63" s="138"/>
    </row>
    <row r="64" spans="3:14">
      <c r="N64" s="138"/>
    </row>
    <row r="65" spans="3:14">
      <c r="D65" s="132"/>
      <c r="E65" s="132"/>
      <c r="F65" s="132"/>
      <c r="G65" s="133"/>
      <c r="H65" s="133"/>
      <c r="I65" s="133"/>
    </row>
    <row r="66" spans="3:14">
      <c r="D66" s="132"/>
      <c r="E66" s="132"/>
      <c r="F66" s="132"/>
      <c r="G66" s="133"/>
      <c r="H66" s="133"/>
      <c r="I66" s="133"/>
    </row>
    <row r="67" spans="3:14">
      <c r="D67" s="132" t="s">
        <v>190</v>
      </c>
      <c r="E67" s="132"/>
      <c r="F67" s="132"/>
      <c r="G67" s="133"/>
      <c r="H67" s="133"/>
      <c r="I67" s="133"/>
    </row>
    <row r="68" spans="3:14">
      <c r="D68" s="54" t="s">
        <v>10</v>
      </c>
      <c r="E68" s="54"/>
      <c r="F68" s="54"/>
      <c r="G68" s="54" t="s">
        <v>11</v>
      </c>
      <c r="H68" s="54" t="s">
        <v>12</v>
      </c>
      <c r="I68" s="55" t="s">
        <v>13</v>
      </c>
    </row>
    <row r="69" spans="3:14">
      <c r="D69" s="56">
        <v>2022</v>
      </c>
      <c r="E69" s="56"/>
      <c r="F69" s="56"/>
      <c r="G69" s="56" t="s">
        <v>189</v>
      </c>
      <c r="H69" s="56">
        <v>27</v>
      </c>
      <c r="I69" s="56" t="s">
        <v>15</v>
      </c>
    </row>
    <row r="70" spans="3:14">
      <c r="D70" s="57"/>
      <c r="E70" s="57"/>
      <c r="F70" s="57"/>
      <c r="G70" s="57"/>
    </row>
    <row r="71" spans="3:14" ht="33.75">
      <c r="D71" s="159" t="s">
        <v>16</v>
      </c>
      <c r="E71" s="159"/>
      <c r="F71" s="159"/>
      <c r="G71" s="159" t="s">
        <v>17</v>
      </c>
      <c r="H71" s="159" t="s">
        <v>191</v>
      </c>
      <c r="I71" s="167"/>
      <c r="J71" t="s">
        <v>192</v>
      </c>
    </row>
    <row r="72" spans="3:14">
      <c r="D72" s="61">
        <v>0.33333333333333298</v>
      </c>
      <c r="E72" s="61"/>
      <c r="F72" s="61"/>
      <c r="G72" s="62">
        <v>9</v>
      </c>
      <c r="H72" s="63">
        <v>45.63</v>
      </c>
      <c r="I72" s="130"/>
    </row>
    <row r="74" spans="3:14"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</row>
    <row r="75" spans="3:14">
      <c r="C75" s="131"/>
      <c r="D75" s="131" t="s">
        <v>12</v>
      </c>
      <c r="E75" s="131"/>
      <c r="F75" s="131"/>
      <c r="G75" s="131" t="s">
        <v>21</v>
      </c>
      <c r="H75" s="131" t="s">
        <v>22</v>
      </c>
      <c r="I75" s="131" t="s">
        <v>23</v>
      </c>
      <c r="J75" s="131" t="s">
        <v>24</v>
      </c>
      <c r="K75" s="131" t="s">
        <v>25</v>
      </c>
      <c r="L75" s="131"/>
      <c r="M75" s="131"/>
      <c r="N75" s="131" t="s">
        <v>26</v>
      </c>
    </row>
    <row r="76" spans="3:14">
      <c r="C76" s="70" t="s">
        <v>193</v>
      </c>
      <c r="D76" s="71">
        <v>27</v>
      </c>
      <c r="E76" s="71"/>
      <c r="F76" s="71"/>
      <c r="G76" s="72">
        <v>0</v>
      </c>
      <c r="H76" s="72">
        <v>0</v>
      </c>
      <c r="I76" s="73"/>
      <c r="J76" s="73">
        <f>IFERROR(IF(AND(G76&lt;&gt;"",H76&lt;&gt;""),IF(G76&gt;$B$14+TIME($C$14,($C$14-INT($C$14))*60,0),0,IF(H76&gt;$B$14+TIME($C$14,($C$14-INT($C$14))*60,0),MIN(TIME($C$14,($C$14-INT($C$14))*60,0),($B$14+TIME($C$14,($C$14-INT($C$14))*60,0)-G76)),MIN(IF((H76-$B$14)&lt;0,0,(H76-$B$14)),(H76-G76))))*24,"")-I76,"")</f>
        <v>0</v>
      </c>
      <c r="K76" s="73">
        <f>IF(AND(G76&lt;&gt;"",H76&lt;&gt;""),((IF(G76&lt;$B$14,MIN($B$14-G76,H76-G76),0)+IF(H76&gt;$B$14+TIME($C$14,($C$14-INT($C$14))*60,0),MIN((H76-$B$14-TIME($C$14,($C$14-INT($C$14))*60,0)),(H76-G76)),0))*24),"")</f>
        <v>0</v>
      </c>
      <c r="L76" s="110"/>
      <c r="M76" s="102"/>
      <c r="N76" s="99">
        <f>(H72+(H72*169%))*K76</f>
        <v>0</v>
      </c>
    </row>
    <row r="77" spans="3:14">
      <c r="C77" s="70" t="s">
        <v>193</v>
      </c>
      <c r="D77" s="71">
        <v>3</v>
      </c>
      <c r="E77" s="71"/>
      <c r="F77" s="71"/>
      <c r="G77" s="72">
        <v>0</v>
      </c>
      <c r="H77" s="72">
        <v>0</v>
      </c>
      <c r="I77" s="73"/>
      <c r="J77" s="73">
        <f>IFERROR(IF(AND(G77&lt;&gt;"",H77&lt;&gt;""),IF(G77&gt;$B$14+TIME($C$14,($C$14-INT($C$14))*60,0),0,IF(H77&gt;$B$14+TIME($C$14,($C$14-INT($C$14))*60,0),MIN(TIME($C$14,($C$14-INT($C$14))*60,0),($B$14+TIME($C$14,($C$14-INT($C$14))*60,0)-G77)),MIN(IF((H77-$B$14)&lt;0,0,(H77-$B$14)),(H77-G77))))*24,"")-I77,"")</f>
        <v>0</v>
      </c>
      <c r="K77" s="73">
        <f>IF(AND(G77&lt;&gt;"",H77&lt;&gt;""),((IF(G77&lt;$D$49,MIN($D$49-G77,H77-G77),0)+IF(H77&gt;$D$49+TIME($G$49,($G$49-INT($G$49))*60,0),MIN((H77-$D$49-TIME($G$49,($G$49-INT($G$49))*60,0)),(H77-G77)),0))*24),"")</f>
        <v>0</v>
      </c>
      <c r="L77" s="73"/>
      <c r="M77" s="73"/>
      <c r="N77" s="99">
        <f>(H72+(H72*169%))*K77</f>
        <v>0</v>
      </c>
    </row>
    <row r="78" spans="3:14">
      <c r="C78" s="70"/>
      <c r="D78" s="71"/>
      <c r="E78" s="71"/>
      <c r="F78" s="71"/>
      <c r="G78" s="72"/>
      <c r="H78" s="72"/>
      <c r="I78" s="73"/>
      <c r="J78" s="73"/>
      <c r="K78" s="73"/>
      <c r="L78" s="73"/>
      <c r="M78" s="73"/>
      <c r="N78" s="99"/>
    </row>
    <row r="79" spans="3:14"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137">
        <f>SUM(N76:N77)</f>
        <v>0</v>
      </c>
    </row>
    <row r="80" spans="3:14">
      <c r="G80" s="606"/>
      <c r="H80" s="606"/>
    </row>
    <row r="83" spans="3:3">
      <c r="C83" s="91" t="s">
        <v>141</v>
      </c>
    </row>
    <row r="84" spans="3:3">
      <c r="C84" t="s">
        <v>66</v>
      </c>
    </row>
    <row r="85" spans="3:3">
      <c r="C85" s="91"/>
    </row>
  </sheetData>
  <mergeCells count="12">
    <mergeCell ref="B42:N42"/>
    <mergeCell ref="G80:H80"/>
    <mergeCell ref="G33:H33"/>
    <mergeCell ref="G35:H35"/>
    <mergeCell ref="G37:H37"/>
    <mergeCell ref="G39:H39"/>
    <mergeCell ref="G40:H40"/>
    <mergeCell ref="A6:N6"/>
    <mergeCell ref="C7:D7"/>
    <mergeCell ref="M7:O7"/>
    <mergeCell ref="C8:D8"/>
    <mergeCell ref="M8:O8"/>
  </mergeCells>
  <conditionalFormatting sqref="C17:F31">
    <cfRule type="expression" dxfId="12" priority="1">
      <formula>ISNUMBER(SEARCH(TEXT($C17,"ddd"),$G$11))</formula>
    </cfRule>
  </conditionalFormatting>
  <conditionalFormatting sqref="C76:F78 I77">
    <cfRule type="expression" dxfId="11" priority="38">
      <formula>ISNUMBER(SEARCH(TEXT($C76,"ddd"),$G$11))</formula>
    </cfRule>
  </conditionalFormatting>
  <conditionalFormatting sqref="G24:G31">
    <cfRule type="expression" dxfId="10" priority="10">
      <formula>ISNUMBER(SEARCH(TEXT($C24,"ddd"),$G$11))</formula>
    </cfRule>
  </conditionalFormatting>
  <conditionalFormatting sqref="G76:H77">
    <cfRule type="expression" dxfId="9" priority="31">
      <formula>ISNUMBER(SEARCH(TEXT($C76,"ddd"),$G$11))</formula>
    </cfRule>
  </conditionalFormatting>
  <conditionalFormatting sqref="G78:I78">
    <cfRule type="expression" dxfId="8" priority="33">
      <formula>ISNUMBER(SEARCH(TEXT($C78,"ddd"),$G$11))</formula>
    </cfRule>
  </conditionalFormatting>
  <conditionalFormatting sqref="G17:K23">
    <cfRule type="expression" dxfId="7" priority="6">
      <formula>ISNUMBER(SEARCH(TEXT($C17,"ddd"),$G$11))</formula>
    </cfRule>
  </conditionalFormatting>
  <conditionalFormatting sqref="H24:H28">
    <cfRule type="expression" dxfId="6" priority="5">
      <formula>ISNUMBER(SEARCH(TEXT($C24,"ddd"),$G$11))</formula>
    </cfRule>
  </conditionalFormatting>
  <conditionalFormatting sqref="H29:L31">
    <cfRule type="expression" dxfId="5" priority="4">
      <formula>ISNUMBER(SEARCH(TEXT($C29,"ddd"),$G$11))</formula>
    </cfRule>
  </conditionalFormatting>
  <conditionalFormatting sqref="I24:K26 I27:L28 C32:L32 C52:N53">
    <cfRule type="expression" dxfId="4" priority="40">
      <formula>ISNUMBER(SEARCH(TEXT($C24,"ddd"),$G$11))</formula>
    </cfRule>
  </conditionalFormatting>
  <conditionalFormatting sqref="I76:L76">
    <cfRule type="expression" dxfId="3" priority="36">
      <formula>ISNUMBER(SEARCH(TEXT($C76,"ddd"),$G$11))</formula>
    </cfRule>
  </conditionalFormatting>
  <conditionalFormatting sqref="J77:M78">
    <cfRule type="expression" dxfId="2" priority="37">
      <formula>ISNUMBER(SEARCH(TEXT($C77,"ddd"),$G$11))</formula>
    </cfRule>
  </conditionalFormatting>
  <conditionalFormatting sqref="N17:N32">
    <cfRule type="expression" dxfId="1" priority="34">
      <formula>ISNUMBER(SEARCH(TEXT($C17,"ddd"),$G$11))</formula>
    </cfRule>
  </conditionalFormatting>
  <conditionalFormatting sqref="N76:N78">
    <cfRule type="expression" dxfId="0" priority="32">
      <formula>ISNUMBER(SEARCH(TEXT($C76,"ddd"),$G$11))</formula>
    </cfRule>
  </conditionalFormatting>
  <dataValidations count="5">
    <dataValidation type="list" allowBlank="1" showInputMessage="1" showErrorMessage="1" sqref="H69 H46 E11:F11" xr:uid="{00000000-0002-0000-3500-000000000000}">
      <formula1>SUCIA!DateCalc</formula1>
    </dataValidation>
    <dataValidation type="custom" allowBlank="1" showInputMessage="1" showErrorMessage="1" sqref="G76:G78 G52:G53 E17:G17 G18:G32 E18:F31" xr:uid="{00000000-0002-0000-3500-000001000000}">
      <formula1>AND($G17&lt;=1,ISNUMBER($G17))</formula1>
    </dataValidation>
    <dataValidation type="custom" allowBlank="1" showInputMessage="1" showErrorMessage="1" sqref="H76:H78 H52:H53 H17:H32" xr:uid="{00000000-0002-0000-3500-000002000000}">
      <formula1>AND($H17&lt;=1,ISNUMBER($H17),($H17&gt;=$G17))</formula1>
    </dataValidation>
    <dataValidation type="list" allowBlank="1" showInputMessage="1" showErrorMessage="1" sqref="D11" xr:uid="{00000000-0002-0000-3500-000003000000}">
      <formula1>DateCalc</formula1>
    </dataValidation>
    <dataValidation type="list" allowBlank="1" showInputMessage="1" showErrorMessage="1" sqref="I69 G11 D46:G46 I46 D69:G69" xr:uid="{00000000-0002-0000-3500-000004000000}"/>
  </dataValidations>
  <pageMargins left="1.07083333333333" right="0.25" top="0.359722222222222" bottom="0.39791666666666697" header="0.29861111111111099" footer="0.29861111111111099"/>
  <pageSetup paperSize="9" scale="91" orientation="landscape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41" r:id="rId4" name="Check Box 1">
              <controlPr defaultSize="0" print="0" autoPict="0">
                <anchor moveWithCells="1">
                  <from>
                    <xdr:col>7</xdr:col>
                    <xdr:colOff>180975</xdr:colOff>
                    <xdr:row>9</xdr:row>
                    <xdr:rowOff>28575</xdr:rowOff>
                  </from>
                  <to>
                    <xdr:col>8</xdr:col>
                    <xdr:colOff>571500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3500-000005000000}">
          <x14:formula1>
            <xm:f>Data!$B$2:$B$13</xm:f>
          </x14:formula1>
          <xm:sqref>C11</xm:sqref>
        </x14:dataValidation>
        <x14:dataValidation type="list" allowBlank="1" showInputMessage="1" showErrorMessage="1" xr:uid="{00000000-0002-0000-3500-000006000000}">
          <x14:formula1>
            <xm:f>Data!$A$2:$A$12</xm:f>
          </x14:formula1>
          <xm:sqref>B11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55</vt:i4>
      </vt:variant>
      <vt:variant>
        <vt:lpstr>Named Ranges</vt:lpstr>
      </vt:variant>
      <vt:variant>
        <vt:i4>4</vt:i4>
      </vt:variant>
    </vt:vector>
  </HeadingPairs>
  <TitlesOfParts>
    <vt:vector size="59" baseType="lpstr">
      <vt:lpstr>Weekly Timesheet</vt:lpstr>
      <vt:lpstr>Bi-weekly Timesheet</vt:lpstr>
      <vt:lpstr>15</vt:lpstr>
      <vt:lpstr>Sheet2</vt:lpstr>
      <vt:lpstr>30</vt:lpstr>
      <vt:lpstr>AUG15</vt:lpstr>
      <vt:lpstr>SEPT 30</vt:lpstr>
      <vt:lpstr>ADMIN (2)</vt:lpstr>
      <vt:lpstr>Data</vt:lpstr>
      <vt:lpstr>PS(G)</vt:lpstr>
      <vt:lpstr>PS(B)</vt:lpstr>
      <vt:lpstr>PS(F)</vt:lpstr>
      <vt:lpstr>PAALAN</vt:lpstr>
      <vt:lpstr>PATRICIO</vt:lpstr>
      <vt:lpstr>Fixed Salary - Sample</vt:lpstr>
      <vt:lpstr>MALAZARTE</vt:lpstr>
      <vt:lpstr>PAREDES</vt:lpstr>
      <vt:lpstr>ELEAZAR</vt:lpstr>
      <vt:lpstr>BUNGAY</vt:lpstr>
      <vt:lpstr>BASA</vt:lpstr>
      <vt:lpstr>AZMAN</vt:lpstr>
      <vt:lpstr>ADRIANO</vt:lpstr>
      <vt:lpstr>BARORO</vt:lpstr>
      <vt:lpstr>RUIZ</vt:lpstr>
      <vt:lpstr>GAID</vt:lpstr>
      <vt:lpstr>GUERZO</vt:lpstr>
      <vt:lpstr>MACATANGAY</vt:lpstr>
      <vt:lpstr>ALEJANDRINO</vt:lpstr>
      <vt:lpstr>ABREA</vt:lpstr>
      <vt:lpstr>DELA CRUZ</vt:lpstr>
      <vt:lpstr>CAYAPAS</vt:lpstr>
      <vt:lpstr>ACOMPAÑADO</vt:lpstr>
      <vt:lpstr>CONSUELO</vt:lpstr>
      <vt:lpstr>Accntng Clerk Salary Sample  </vt:lpstr>
      <vt:lpstr>HERRERA</vt:lpstr>
      <vt:lpstr>GALLARDO</vt:lpstr>
      <vt:lpstr>EDON</vt:lpstr>
      <vt:lpstr>COROSO</vt:lpstr>
      <vt:lpstr>NICOLAS</vt:lpstr>
      <vt:lpstr>AURELIO</vt:lpstr>
      <vt:lpstr>MOHAMMAD</vt:lpstr>
      <vt:lpstr>LAGROSA</vt:lpstr>
      <vt:lpstr>BATUL</vt:lpstr>
      <vt:lpstr>RODRIGUEZ</vt:lpstr>
      <vt:lpstr>GABO</vt:lpstr>
      <vt:lpstr>ORBISO</vt:lpstr>
      <vt:lpstr>BECARO</vt:lpstr>
      <vt:lpstr>ESTARES</vt:lpstr>
      <vt:lpstr>DAGOT</vt:lpstr>
      <vt:lpstr>TRIPOLI</vt:lpstr>
      <vt:lpstr>DIOLA</vt:lpstr>
      <vt:lpstr>LEAL</vt:lpstr>
      <vt:lpstr>COMOSO</vt:lpstr>
      <vt:lpstr>ADELANTAR</vt:lpstr>
      <vt:lpstr>SUCIA</vt:lpstr>
      <vt:lpstr>'15'!Print_Area</vt:lpstr>
      <vt:lpstr>'30'!Print_Area</vt:lpstr>
      <vt:lpstr>'AUG15'!Print_Area</vt:lpstr>
      <vt:lpstr>'SEPT 30'!Print_Area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Riza Grageda</cp:lastModifiedBy>
  <cp:lastPrinted>2026-08-29T02:46:45Z</cp:lastPrinted>
  <dcterms:created xsi:type="dcterms:W3CDTF">2015-07-13T20:50:00Z</dcterms:created>
  <dcterms:modified xsi:type="dcterms:W3CDTF">2026-09-29T08:44:08Z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971DEB8F2FE4480BA72D86A11EEE189B</vt:lpwstr>
  </property>
  <property fmtid="{D5CDD505-2E9C-101B-9397-08002B2CF9AE}" pid="3" name="KSOProductBuildVer">
    <vt:lpwstr>1033-11.2.0.11074</vt:lpwstr>
  </property>
</Properties>
</file>