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.xu\GIH\Github\sc_split_paper_data\"/>
    </mc:Choice>
  </mc:AlternateContent>
  <bookViews>
    <workbookView xWindow="0" yWindow="0" windowWidth="28800" windowHeight="12300"/>
  </bookViews>
  <sheets>
    <sheet name="TPR_FDR" sheetId="1" r:id="rId1"/>
    <sheet name="Supplement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2" l="1"/>
  <c r="L32" i="2"/>
  <c r="M31" i="2"/>
  <c r="L31" i="2"/>
  <c r="M30" i="2"/>
  <c r="L30" i="2"/>
  <c r="L27" i="2"/>
  <c r="L26" i="2"/>
  <c r="L25" i="2"/>
  <c r="M22" i="2"/>
  <c r="L22" i="2"/>
  <c r="M21" i="2"/>
  <c r="L21" i="2"/>
  <c r="M20" i="2"/>
  <c r="L20" i="2"/>
  <c r="AE59" i="1" l="1"/>
  <c r="AE53" i="1"/>
  <c r="AD61" i="1"/>
  <c r="AD57" i="1"/>
  <c r="AD56" i="1"/>
  <c r="AC61" i="1"/>
  <c r="AB61" i="1"/>
  <c r="AA61" i="1"/>
  <c r="Z61" i="1"/>
  <c r="Y61" i="1"/>
  <c r="X61" i="1"/>
  <c r="W61" i="1"/>
  <c r="V61" i="1"/>
  <c r="AC62" i="1"/>
  <c r="AD60" i="1"/>
  <c r="AD62" i="1" s="1"/>
  <c r="AC60" i="1"/>
  <c r="AB60" i="1"/>
  <c r="AB62" i="1" s="1"/>
  <c r="AA60" i="1"/>
  <c r="AA62" i="1" s="1"/>
  <c r="Z60" i="1"/>
  <c r="Z62" i="1" s="1"/>
  <c r="Y60" i="1"/>
  <c r="Y62" i="1" s="1"/>
  <c r="X60" i="1"/>
  <c r="X62" i="1" s="1"/>
  <c r="W60" i="1"/>
  <c r="W62" i="1" s="1"/>
  <c r="V60" i="1"/>
  <c r="AD54" i="1"/>
  <c r="AC54" i="1"/>
  <c r="AB54" i="1"/>
  <c r="AA54" i="1"/>
  <c r="Z54" i="1"/>
  <c r="Y54" i="1"/>
  <c r="X54" i="1"/>
  <c r="W54" i="1"/>
  <c r="V54" i="1"/>
  <c r="F66" i="1"/>
  <c r="E68" i="1"/>
  <c r="D68" i="1"/>
  <c r="C68" i="1"/>
  <c r="B68" i="1"/>
  <c r="E67" i="1"/>
  <c r="E69" i="1" s="1"/>
  <c r="D67" i="1"/>
  <c r="D69" i="1" s="1"/>
  <c r="C67" i="1"/>
  <c r="B67" i="1"/>
  <c r="B69" i="1" s="1"/>
  <c r="C69" i="1"/>
  <c r="G22" i="2"/>
  <c r="F22" i="2"/>
  <c r="E22" i="2"/>
  <c r="G21" i="2"/>
  <c r="F21" i="2"/>
  <c r="E21" i="2"/>
  <c r="G20" i="2"/>
  <c r="F20" i="2"/>
  <c r="E20" i="2"/>
  <c r="D22" i="2"/>
  <c r="D21" i="2"/>
  <c r="D20" i="2"/>
  <c r="AE7" i="1"/>
  <c r="AE6" i="1"/>
  <c r="R5" i="1"/>
  <c r="S5" i="1"/>
  <c r="P5" i="1"/>
  <c r="O5" i="1"/>
  <c r="Q5" i="1"/>
  <c r="J5" i="1"/>
  <c r="K5" i="1"/>
  <c r="H5" i="1"/>
  <c r="I5" i="1"/>
  <c r="S7" i="1"/>
  <c r="S6" i="1"/>
  <c r="K7" i="1"/>
  <c r="K6" i="1"/>
  <c r="D6" i="1"/>
  <c r="B5" i="1"/>
  <c r="D5" i="1"/>
  <c r="D7" i="1" s="1"/>
  <c r="C5" i="1"/>
  <c r="AE60" i="1" l="1"/>
  <c r="V62" i="1"/>
  <c r="AE54" i="1"/>
  <c r="F67" i="1"/>
  <c r="J40" i="1"/>
  <c r="B40" i="1"/>
  <c r="C40" i="1"/>
  <c r="D40" i="1"/>
  <c r="E40" i="1"/>
  <c r="F40" i="1"/>
  <c r="G40" i="1"/>
  <c r="H40" i="1"/>
  <c r="I40" i="1"/>
  <c r="M15" i="1"/>
  <c r="P59" i="1"/>
  <c r="P61" i="1" s="1"/>
  <c r="O59" i="1"/>
  <c r="O61" i="1" s="1"/>
  <c r="N59" i="1"/>
  <c r="N61" i="1" s="1"/>
  <c r="M59" i="1"/>
  <c r="E59" i="1"/>
  <c r="D59" i="1"/>
  <c r="D61" i="1" s="1"/>
  <c r="C59" i="1"/>
  <c r="C61" i="1" s="1"/>
  <c r="B59" i="1"/>
  <c r="B61" i="1" s="1"/>
  <c r="P54" i="1"/>
  <c r="O54" i="1"/>
  <c r="N54" i="1"/>
  <c r="M54" i="1"/>
  <c r="E54" i="1"/>
  <c r="D54" i="1"/>
  <c r="C54" i="1"/>
  <c r="B54" i="1"/>
  <c r="V39" i="1"/>
  <c r="V41" i="1" s="1"/>
  <c r="U39" i="1"/>
  <c r="U41" i="1" s="1"/>
  <c r="T39" i="1"/>
  <c r="T41" i="1" s="1"/>
  <c r="S39" i="1"/>
  <c r="S41" i="1" s="1"/>
  <c r="R39" i="1"/>
  <c r="R41" i="1" s="1"/>
  <c r="Q39" i="1"/>
  <c r="Q41" i="1" s="1"/>
  <c r="P39" i="1"/>
  <c r="P41" i="1" s="1"/>
  <c r="O39" i="1"/>
  <c r="O41" i="1" s="1"/>
  <c r="B44" i="1"/>
  <c r="C44" i="1"/>
  <c r="D44" i="1"/>
  <c r="E44" i="1"/>
  <c r="F44" i="1"/>
  <c r="G44" i="1"/>
  <c r="H44" i="1"/>
  <c r="I44" i="1"/>
  <c r="J44" i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D39" i="1"/>
  <c r="D41" i="1" s="1"/>
  <c r="C39" i="1"/>
  <c r="C41" i="1" s="1"/>
  <c r="B39" i="1"/>
  <c r="B41" i="1" s="1"/>
  <c r="V34" i="1"/>
  <c r="U34" i="1"/>
  <c r="T34" i="1"/>
  <c r="S34" i="1"/>
  <c r="R34" i="1"/>
  <c r="Q34" i="1"/>
  <c r="P34" i="1"/>
  <c r="O34" i="1"/>
  <c r="J34" i="1"/>
  <c r="I34" i="1"/>
  <c r="H34" i="1"/>
  <c r="G34" i="1"/>
  <c r="F34" i="1"/>
  <c r="E34" i="1"/>
  <c r="D34" i="1"/>
  <c r="C34" i="1"/>
  <c r="B34" i="1"/>
  <c r="AG20" i="1"/>
  <c r="AG22" i="1" s="1"/>
  <c r="AF20" i="1"/>
  <c r="AF22" i="1" s="1"/>
  <c r="AE20" i="1"/>
  <c r="AE22" i="1" s="1"/>
  <c r="AD20" i="1"/>
  <c r="AD22" i="1" s="1"/>
  <c r="AC20" i="1"/>
  <c r="AC22" i="1" s="1"/>
  <c r="AB20" i="1"/>
  <c r="AB22" i="1" s="1"/>
  <c r="AA20" i="1"/>
  <c r="AA22" i="1" s="1"/>
  <c r="Z20" i="1"/>
  <c r="Y20" i="1"/>
  <c r="Y22" i="1" s="1"/>
  <c r="U20" i="1"/>
  <c r="U22" i="1" s="1"/>
  <c r="T20" i="1"/>
  <c r="T22" i="1" s="1"/>
  <c r="S20" i="1"/>
  <c r="S22" i="1" s="1"/>
  <c r="R20" i="1"/>
  <c r="R22" i="1" s="1"/>
  <c r="Q20" i="1"/>
  <c r="Q22" i="1" s="1"/>
  <c r="P20" i="1"/>
  <c r="P22" i="1" s="1"/>
  <c r="O20" i="1"/>
  <c r="O22" i="1" s="1"/>
  <c r="N20" i="1"/>
  <c r="N22" i="1" s="1"/>
  <c r="M20" i="1"/>
  <c r="M22" i="1" s="1"/>
  <c r="I20" i="1"/>
  <c r="I22" i="1" s="1"/>
  <c r="H20" i="1"/>
  <c r="H22" i="1" s="1"/>
  <c r="G20" i="1"/>
  <c r="G22" i="1" s="1"/>
  <c r="F20" i="1"/>
  <c r="F22" i="1" s="1"/>
  <c r="E20" i="1"/>
  <c r="E22" i="1" s="1"/>
  <c r="D20" i="1"/>
  <c r="C20" i="1"/>
  <c r="C22" i="1" s="1"/>
  <c r="B20" i="1"/>
  <c r="B22" i="1" s="1"/>
  <c r="AG15" i="1"/>
  <c r="AF15" i="1"/>
  <c r="AE15" i="1"/>
  <c r="AD15" i="1"/>
  <c r="AC15" i="1"/>
  <c r="AB15" i="1"/>
  <c r="AA15" i="1"/>
  <c r="Z15" i="1"/>
  <c r="Y15" i="1"/>
  <c r="U15" i="1"/>
  <c r="T15" i="1"/>
  <c r="S15" i="1"/>
  <c r="R15" i="1"/>
  <c r="Q15" i="1"/>
  <c r="P15" i="1"/>
  <c r="O15" i="1"/>
  <c r="N15" i="1"/>
  <c r="I15" i="1"/>
  <c r="H15" i="1"/>
  <c r="G15" i="1"/>
  <c r="F15" i="1"/>
  <c r="E15" i="1"/>
  <c r="D15" i="1"/>
  <c r="C15" i="1"/>
  <c r="B15" i="1"/>
  <c r="F53" i="1"/>
  <c r="Q53" i="1"/>
  <c r="Q58" i="1"/>
  <c r="F63" i="1"/>
  <c r="F62" i="1"/>
  <c r="W38" i="1"/>
  <c r="W33" i="1"/>
  <c r="K43" i="1"/>
  <c r="K33" i="1"/>
  <c r="AH24" i="1"/>
  <c r="AH19" i="1"/>
  <c r="AH14" i="1"/>
  <c r="D22" i="1"/>
  <c r="P60" i="1"/>
  <c r="O60" i="1"/>
  <c r="N60" i="1"/>
  <c r="M60" i="1"/>
  <c r="E60" i="1"/>
  <c r="D60" i="1"/>
  <c r="C60" i="1"/>
  <c r="B60" i="1"/>
  <c r="V40" i="1"/>
  <c r="U40" i="1"/>
  <c r="T40" i="1"/>
  <c r="S40" i="1"/>
  <c r="R40" i="1"/>
  <c r="Q40" i="1"/>
  <c r="P40" i="1"/>
  <c r="O40" i="1"/>
  <c r="AG21" i="1"/>
  <c r="AF21" i="1"/>
  <c r="AE21" i="1"/>
  <c r="AD21" i="1"/>
  <c r="AC21" i="1"/>
  <c r="AB21" i="1"/>
  <c r="AA21" i="1"/>
  <c r="Z21" i="1"/>
  <c r="Y21" i="1"/>
  <c r="U21" i="1"/>
  <c r="T21" i="1"/>
  <c r="S21" i="1"/>
  <c r="R21" i="1"/>
  <c r="Q21" i="1"/>
  <c r="P21" i="1"/>
  <c r="O21" i="1"/>
  <c r="N21" i="1"/>
  <c r="M21" i="1"/>
  <c r="I21" i="1"/>
  <c r="H21" i="1"/>
  <c r="G21" i="1"/>
  <c r="F21" i="1"/>
  <c r="E21" i="1"/>
  <c r="D21" i="1"/>
  <c r="C21" i="1"/>
  <c r="B21" i="1"/>
  <c r="F58" i="1"/>
  <c r="B64" i="1"/>
  <c r="C64" i="1"/>
  <c r="D64" i="1"/>
  <c r="E64" i="1"/>
  <c r="B65" i="1"/>
  <c r="C65" i="1"/>
  <c r="D65" i="1"/>
  <c r="E65" i="1"/>
  <c r="Z22" i="1"/>
  <c r="V19" i="1"/>
  <c r="J19" i="1"/>
  <c r="K38" i="1"/>
  <c r="J24" i="1"/>
  <c r="V24" i="1"/>
  <c r="B25" i="1"/>
  <c r="C25" i="1"/>
  <c r="D25" i="1"/>
  <c r="E25" i="1"/>
  <c r="F25" i="1"/>
  <c r="G25" i="1"/>
  <c r="H25" i="1"/>
  <c r="I25" i="1"/>
  <c r="M25" i="1"/>
  <c r="N25" i="1"/>
  <c r="O25" i="1"/>
  <c r="P25" i="1"/>
  <c r="Q25" i="1"/>
  <c r="R25" i="1"/>
  <c r="S25" i="1"/>
  <c r="T25" i="1"/>
  <c r="U25" i="1"/>
  <c r="Y25" i="1"/>
  <c r="Z25" i="1"/>
  <c r="AA25" i="1"/>
  <c r="AB25" i="1"/>
  <c r="AC25" i="1"/>
  <c r="AD25" i="1"/>
  <c r="AE25" i="1"/>
  <c r="AF25" i="1"/>
  <c r="AG25" i="1"/>
  <c r="B26" i="1"/>
  <c r="C26" i="1"/>
  <c r="D26" i="1"/>
  <c r="E26" i="1"/>
  <c r="F26" i="1"/>
  <c r="G26" i="1"/>
  <c r="H26" i="1"/>
  <c r="I26" i="1"/>
  <c r="M26" i="1"/>
  <c r="N26" i="1"/>
  <c r="O26" i="1"/>
  <c r="P26" i="1"/>
  <c r="Q26" i="1"/>
  <c r="R26" i="1"/>
  <c r="S26" i="1"/>
  <c r="T26" i="1"/>
  <c r="U26" i="1"/>
  <c r="Y26" i="1"/>
  <c r="Z26" i="1"/>
  <c r="AA26" i="1"/>
  <c r="AB26" i="1"/>
  <c r="AC26" i="1"/>
  <c r="AD26" i="1"/>
  <c r="AE26" i="1"/>
  <c r="AF26" i="1"/>
  <c r="AG26" i="1"/>
  <c r="AH25" i="1" l="1"/>
  <c r="F59" i="1"/>
  <c r="Q59" i="1"/>
  <c r="W39" i="1"/>
  <c r="E61" i="1"/>
  <c r="M61" i="1"/>
  <c r="J25" i="1"/>
  <c r="V25" i="1"/>
  <c r="V44" i="1"/>
  <c r="U44" i="1"/>
  <c r="T44" i="1"/>
  <c r="S44" i="1"/>
  <c r="R44" i="1"/>
  <c r="Q44" i="1"/>
  <c r="P44" i="1"/>
  <c r="O44" i="1"/>
  <c r="W44" i="1" l="1"/>
  <c r="K34" i="1"/>
  <c r="K44" i="1"/>
  <c r="AH15" i="1"/>
  <c r="AH20" i="1"/>
  <c r="W34" i="1"/>
  <c r="K39" i="1"/>
  <c r="J20" i="1"/>
  <c r="AC57" i="1"/>
  <c r="AB57" i="1"/>
  <c r="AA57" i="1"/>
  <c r="Z57" i="1"/>
  <c r="Y57" i="1"/>
  <c r="X57" i="1"/>
  <c r="W57" i="1"/>
  <c r="V57" i="1"/>
  <c r="AC56" i="1"/>
  <c r="AB56" i="1"/>
  <c r="AA56" i="1"/>
  <c r="Z56" i="1"/>
  <c r="Y56" i="1"/>
  <c r="X56" i="1"/>
  <c r="W56" i="1"/>
  <c r="V56" i="1"/>
  <c r="V20" i="1" l="1"/>
  <c r="K32" i="2"/>
  <c r="J32" i="2"/>
  <c r="I32" i="2"/>
  <c r="H32" i="2"/>
  <c r="K31" i="2"/>
  <c r="J31" i="2"/>
  <c r="I31" i="2"/>
  <c r="H31" i="2"/>
  <c r="K30" i="2"/>
  <c r="J30" i="2"/>
  <c r="I30" i="2"/>
  <c r="H30" i="2"/>
  <c r="K27" i="2"/>
  <c r="J27" i="2"/>
  <c r="I27" i="2"/>
  <c r="H27" i="2"/>
  <c r="K26" i="2"/>
  <c r="J26" i="2"/>
  <c r="I26" i="2"/>
  <c r="H26" i="2"/>
  <c r="K25" i="2"/>
  <c r="J25" i="2"/>
  <c r="I25" i="2"/>
  <c r="H25" i="2"/>
  <c r="K22" i="2"/>
  <c r="J22" i="2"/>
  <c r="I22" i="2"/>
  <c r="H22" i="2"/>
  <c r="K21" i="2"/>
  <c r="J21" i="2"/>
  <c r="I21" i="2"/>
  <c r="H21" i="2"/>
  <c r="K20" i="2"/>
  <c r="J20" i="2"/>
  <c r="I20" i="2"/>
  <c r="H20" i="2"/>
  <c r="V46" i="1" l="1"/>
  <c r="O46" i="1"/>
  <c r="T46" i="1"/>
  <c r="U46" i="1"/>
  <c r="S46" i="1"/>
  <c r="Q46" i="1"/>
  <c r="R46" i="1"/>
  <c r="P46" i="1"/>
  <c r="V45" i="1"/>
  <c r="O45" i="1"/>
  <c r="T45" i="1"/>
  <c r="U45" i="1"/>
  <c r="S45" i="1"/>
  <c r="Q45" i="1"/>
  <c r="R45" i="1"/>
  <c r="P45" i="1"/>
  <c r="W43" i="1"/>
  <c r="I27" i="1"/>
  <c r="H27" i="1"/>
  <c r="G27" i="1"/>
  <c r="F27" i="1"/>
  <c r="E27" i="1"/>
  <c r="D27" i="1"/>
  <c r="C27" i="1"/>
  <c r="B27" i="1"/>
  <c r="U27" i="1"/>
  <c r="T27" i="1"/>
  <c r="S27" i="1"/>
  <c r="R27" i="1"/>
  <c r="Q27" i="1"/>
  <c r="P27" i="1"/>
  <c r="O27" i="1"/>
  <c r="N27" i="1"/>
  <c r="M27" i="1"/>
  <c r="AG27" i="1"/>
  <c r="Z27" i="1"/>
  <c r="Y27" i="1"/>
  <c r="AD27" i="1"/>
  <c r="AF27" i="1"/>
  <c r="AB27" i="1"/>
  <c r="AA27" i="1"/>
  <c r="AC27" i="1"/>
  <c r="D46" i="1"/>
  <c r="D45" i="1"/>
  <c r="J46" i="1"/>
  <c r="I46" i="1"/>
  <c r="B46" i="1"/>
  <c r="H46" i="1"/>
  <c r="F46" i="1"/>
  <c r="G46" i="1"/>
  <c r="C46" i="1"/>
  <c r="E46" i="1"/>
  <c r="J45" i="1"/>
  <c r="I45" i="1"/>
  <c r="B45" i="1"/>
  <c r="H45" i="1"/>
  <c r="F45" i="1"/>
  <c r="G45" i="1"/>
  <c r="C45" i="1"/>
  <c r="E45" i="1"/>
  <c r="AE27" i="1"/>
  <c r="V15" i="1"/>
  <c r="J15" i="1"/>
  <c r="P56" i="1"/>
  <c r="O56" i="1"/>
  <c r="N56" i="1"/>
  <c r="M56" i="1"/>
  <c r="P55" i="1"/>
  <c r="O55" i="1"/>
  <c r="N55" i="1"/>
  <c r="M55" i="1"/>
  <c r="Q54" i="1"/>
  <c r="J7" i="1"/>
  <c r="I7" i="1"/>
  <c r="H7" i="1"/>
  <c r="J6" i="1"/>
  <c r="I6" i="1"/>
  <c r="H6" i="1"/>
  <c r="J36" i="1" l="1"/>
  <c r="J35" i="1"/>
  <c r="AG17" i="1"/>
  <c r="AG16" i="1"/>
  <c r="U17" i="1"/>
  <c r="U16" i="1"/>
  <c r="F54" i="1"/>
  <c r="AF5" i="1"/>
  <c r="T5" i="1"/>
  <c r="L5" i="1"/>
  <c r="L4" i="1"/>
  <c r="T4" i="1"/>
  <c r="AF4" i="1"/>
  <c r="J14" i="1"/>
  <c r="V14" i="1"/>
  <c r="E5" i="1"/>
  <c r="E56" i="1"/>
  <c r="D56" i="1"/>
  <c r="C56" i="1"/>
  <c r="B56" i="1"/>
  <c r="E55" i="1"/>
  <c r="D55" i="1"/>
  <c r="C55" i="1"/>
  <c r="B55" i="1"/>
  <c r="V36" i="1"/>
  <c r="O36" i="1"/>
  <c r="T36" i="1"/>
  <c r="U36" i="1"/>
  <c r="S36" i="1"/>
  <c r="Q36" i="1"/>
  <c r="R36" i="1"/>
  <c r="P36" i="1"/>
  <c r="V35" i="1"/>
  <c r="O35" i="1"/>
  <c r="T35" i="1"/>
  <c r="U35" i="1"/>
  <c r="S35" i="1"/>
  <c r="Q35" i="1"/>
  <c r="R35" i="1"/>
  <c r="P35" i="1"/>
  <c r="I36" i="1"/>
  <c r="B36" i="1"/>
  <c r="H36" i="1"/>
  <c r="F36" i="1"/>
  <c r="G36" i="1"/>
  <c r="C36" i="1"/>
  <c r="E36" i="1"/>
  <c r="D36" i="1"/>
  <c r="I35" i="1"/>
  <c r="B35" i="1"/>
  <c r="H35" i="1"/>
  <c r="F35" i="1"/>
  <c r="G35" i="1"/>
  <c r="C35" i="1"/>
  <c r="E35" i="1"/>
  <c r="D35" i="1"/>
  <c r="Z17" i="1"/>
  <c r="Y17" i="1"/>
  <c r="AD17" i="1"/>
  <c r="AF17" i="1"/>
  <c r="AB17" i="1"/>
  <c r="AA17" i="1"/>
  <c r="AC17" i="1"/>
  <c r="AE17" i="1"/>
  <c r="Z16" i="1"/>
  <c r="Y16" i="1"/>
  <c r="AD16" i="1"/>
  <c r="AF16" i="1"/>
  <c r="AB16" i="1"/>
  <c r="AA16" i="1"/>
  <c r="AC16" i="1"/>
  <c r="AE16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AD7" i="1"/>
  <c r="AC7" i="1"/>
  <c r="AB7" i="1"/>
  <c r="AA7" i="1"/>
  <c r="Z7" i="1"/>
  <c r="Y7" i="1"/>
  <c r="X7" i="1"/>
  <c r="W7" i="1"/>
  <c r="AD6" i="1"/>
  <c r="AC6" i="1"/>
  <c r="AB6" i="1"/>
  <c r="AA6" i="1"/>
  <c r="Z6" i="1"/>
  <c r="Y6" i="1"/>
  <c r="X6" i="1"/>
  <c r="W6" i="1"/>
  <c r="R7" i="1"/>
  <c r="Q7" i="1"/>
  <c r="P7" i="1"/>
  <c r="O7" i="1"/>
  <c r="R6" i="1"/>
  <c r="Q6" i="1"/>
  <c r="P6" i="1"/>
  <c r="O6" i="1"/>
  <c r="C7" i="1"/>
  <c r="B7" i="1"/>
  <c r="C6" i="1"/>
  <c r="B6" i="1"/>
  <c r="E4" i="1" l="1"/>
</calcChain>
</file>

<file path=xl/sharedStrings.xml><?xml version="1.0" encoding="utf-8"?>
<sst xmlns="http://schemas.openxmlformats.org/spreadsheetml/2006/main" count="384" uniqueCount="102">
  <si>
    <t>truth</t>
  </si>
  <si>
    <t>correct</t>
  </si>
  <si>
    <t>incorrect</t>
  </si>
  <si>
    <t>sim2</t>
  </si>
  <si>
    <t>sim3</t>
  </si>
  <si>
    <t>sim4</t>
  </si>
  <si>
    <t>D</t>
  </si>
  <si>
    <t>sim8</t>
  </si>
  <si>
    <t>TPR</t>
  </si>
  <si>
    <t>FDR</t>
  </si>
  <si>
    <t>TP/(TP+FN)=TP/P</t>
  </si>
  <si>
    <t>FP/(FP+TP)</t>
  </si>
  <si>
    <t>demux</t>
  </si>
  <si>
    <t>dem-default</t>
  </si>
  <si>
    <t>dem-optimised</t>
  </si>
  <si>
    <t>exact match</t>
  </si>
  <si>
    <t>A as P</t>
  </si>
  <si>
    <t>P as A</t>
  </si>
  <si>
    <t>A as NA</t>
  </si>
  <si>
    <t>P as NA</t>
  </si>
  <si>
    <t>PA common</t>
  </si>
  <si>
    <t>vs imputed</t>
  </si>
  <si>
    <t>vs non-imputed</t>
  </si>
  <si>
    <t>10:95104365</t>
  </si>
  <si>
    <t>scSplit</t>
  </si>
  <si>
    <t>imputed vcf</t>
  </si>
  <si>
    <t>mix1</t>
  </si>
  <si>
    <t>mix2</t>
  </si>
  <si>
    <t>mix3</t>
  </si>
  <si>
    <t>mix4</t>
  </si>
  <si>
    <t>mix5</t>
  </si>
  <si>
    <t>mix6</t>
  </si>
  <si>
    <t>merge1 (sally4)</t>
  </si>
  <si>
    <t>merge1 (treating demuxlet as truth)</t>
  </si>
  <si>
    <t>merge1</t>
  </si>
  <si>
    <t>2:120059921</t>
  </si>
  <si>
    <t>14:71051088</t>
  </si>
  <si>
    <t>1:109062683</t>
  </si>
  <si>
    <t>1:16986248</t>
  </si>
  <si>
    <t>1:153561422</t>
  </si>
  <si>
    <t>-</t>
  </si>
  <si>
    <t>demux vs imputed</t>
  </si>
  <si>
    <t>match</t>
  </si>
  <si>
    <t>mismatch</t>
  </si>
  <si>
    <t>NA</t>
  </si>
  <si>
    <t>10:135233840</t>
  </si>
  <si>
    <t>3:52728804</t>
  </si>
  <si>
    <t>3:66428282</t>
  </si>
  <si>
    <t>1:151374025</t>
  </si>
  <si>
    <t>4:166264119</t>
  </si>
  <si>
    <t>demuxlet paper</t>
  </si>
  <si>
    <t>dem prediction</t>
  </si>
  <si>
    <t>13:111293915</t>
  </si>
  <si>
    <t>17:46103760</t>
  </si>
  <si>
    <t>4:1694809</t>
  </si>
  <si>
    <t>1:33789382</t>
  </si>
  <si>
    <t>12:57924050</t>
  </si>
  <si>
    <t>19:6751293</t>
  </si>
  <si>
    <t>2:228222293</t>
  </si>
  <si>
    <t>19:19287928</t>
  </si>
  <si>
    <t>1:68170255</t>
  </si>
  <si>
    <t>8:11700101</t>
  </si>
  <si>
    <t>2:99978048</t>
  </si>
  <si>
    <t>2:101622728</t>
  </si>
  <si>
    <t>19:49379167</t>
  </si>
  <si>
    <t>19:51301230</t>
  </si>
  <si>
    <t>1:162753835</t>
  </si>
  <si>
    <t>4:10076860</t>
  </si>
  <si>
    <t>9:35660901</t>
  </si>
  <si>
    <t>14:51372103</t>
  </si>
  <si>
    <t>15:49776957</t>
  </si>
  <si>
    <t>19:35660752</t>
  </si>
  <si>
    <t>16:15131962</t>
  </si>
  <si>
    <t>detected</t>
  </si>
  <si>
    <t>11:67353579</t>
  </si>
  <si>
    <t>14:75408789</t>
  </si>
  <si>
    <t>17:66528778</t>
  </si>
  <si>
    <t>7:140706031</t>
  </si>
  <si>
    <t>12:121675714</t>
  </si>
  <si>
    <t>13:28241287</t>
  </si>
  <si>
    <t>5:9548043</t>
  </si>
  <si>
    <t>7:100958270</t>
  </si>
  <si>
    <t>7:66121623</t>
  </si>
  <si>
    <t>1:6649228</t>
  </si>
  <si>
    <t>1:1337220</t>
  </si>
  <si>
    <t>1:15755248</t>
  </si>
  <si>
    <t>1:8021778</t>
  </si>
  <si>
    <t>11:116941613</t>
  </si>
  <si>
    <t>11:17809724</t>
  </si>
  <si>
    <t>11:252851</t>
  </si>
  <si>
    <t>19:49995254</t>
  </si>
  <si>
    <t>1:110944087</t>
  </si>
  <si>
    <t>1:159277868</t>
  </si>
  <si>
    <t>1:38268797</t>
  </si>
  <si>
    <t>1:71538191</t>
  </si>
  <si>
    <t>vireo</t>
  </si>
  <si>
    <t>1:1146785</t>
  </si>
  <si>
    <t>1:9791938</t>
  </si>
  <si>
    <t>1:9910358</t>
  </si>
  <si>
    <t>80K snvs</t>
  </si>
  <si>
    <t>filtered 30K snvs</t>
  </si>
  <si>
    <t>in 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</si>
</sst>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1019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1" applyNumberFormat="1" applyFont="1" applyFill="1"/>
    <xf numFmtId="0" fontId="0" fillId="0" borderId="0" xfId="0" quotePrefix="1" applyFill="1" applyAlignment="1">
      <alignment horizontal="right"/>
    </xf>
    <xf numFmtId="0" fontId="0" fillId="0" borderId="0" xfId="0" applyFill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0" xfId="1" applyNumberFormat="1" applyFont="1" applyFill="1" applyBorder="1" applyAlignment="1">
      <alignment horizontal="center" vertical="center"/>
    </xf>
    <xf numFmtId="0" fontId="0" fillId="2" borderId="5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0" fontId="0" fillId="2" borderId="8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2" fontId="0" fillId="2" borderId="7" xfId="1" applyNumberFormat="1" applyFont="1" applyFill="1" applyBorder="1" applyAlignment="1">
      <alignment horizontal="center" vertical="center"/>
    </xf>
    <xf numFmtId="2" fontId="0" fillId="2" borderId="8" xfId="1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9A6826"/>
      <color rgb="FF010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abSelected="1" zoomScale="90" zoomScaleNormal="90" workbookViewId="0"/>
  </sheetViews>
  <sheetFormatPr defaultColWidth="8" defaultRowHeight="15" x14ac:dyDescent="0.25"/>
  <cols>
    <col min="1" max="1" width="15.85546875" style="7" bestFit="1" customWidth="1"/>
    <col min="2" max="3" width="8" style="7"/>
    <col min="4" max="4" width="10" style="7" customWidth="1"/>
    <col min="5" max="9" width="8" style="7"/>
    <col min="10" max="10" width="8.85546875" style="7" customWidth="1"/>
    <col min="11" max="11" width="8" style="7"/>
    <col min="12" max="12" width="9" style="7" bestFit="1" customWidth="1"/>
    <col min="13" max="15" width="8" style="7"/>
    <col min="16" max="16" width="9.42578125" style="7" customWidth="1"/>
    <col min="17" max="17" width="9" style="7" customWidth="1"/>
    <col min="18" max="18" width="8" style="7"/>
    <col min="19" max="19" width="9.85546875" style="7" customWidth="1"/>
    <col min="20" max="21" width="8" style="7"/>
    <col min="22" max="22" width="9.42578125" style="7" customWidth="1"/>
    <col min="23" max="23" width="8" style="7"/>
    <col min="24" max="24" width="9.5703125" style="7" customWidth="1"/>
    <col min="25" max="27" width="8" style="7"/>
    <col min="28" max="28" width="9.42578125" style="7" customWidth="1"/>
    <col min="29" max="16384" width="8" style="7"/>
  </cols>
  <sheetData>
    <row r="1" spans="1:35" x14ac:dyDescent="0.25">
      <c r="A1" s="7" t="s">
        <v>3</v>
      </c>
      <c r="B1" s="7">
        <v>1</v>
      </c>
      <c r="C1" s="7">
        <v>2</v>
      </c>
      <c r="D1" s="10">
        <v>0</v>
      </c>
      <c r="G1" s="7" t="s">
        <v>4</v>
      </c>
      <c r="H1" s="7">
        <v>2</v>
      </c>
      <c r="I1" s="7">
        <v>1</v>
      </c>
      <c r="J1" s="7">
        <v>3</v>
      </c>
      <c r="K1" s="7">
        <v>0</v>
      </c>
      <c r="N1" s="7" t="s">
        <v>5</v>
      </c>
      <c r="O1" s="7">
        <v>1</v>
      </c>
      <c r="P1" s="7">
        <v>2</v>
      </c>
      <c r="Q1" s="7">
        <v>0</v>
      </c>
      <c r="R1" s="7">
        <v>4</v>
      </c>
      <c r="S1" s="7">
        <v>3</v>
      </c>
      <c r="V1" s="7" t="s">
        <v>7</v>
      </c>
      <c r="W1" s="7">
        <v>2</v>
      </c>
      <c r="X1" s="7">
        <v>0</v>
      </c>
      <c r="Y1" s="7">
        <v>7</v>
      </c>
      <c r="Z1" s="7">
        <v>4</v>
      </c>
      <c r="AA1" s="7">
        <v>8</v>
      </c>
      <c r="AB1" s="7">
        <v>3</v>
      </c>
      <c r="AC1" s="7">
        <v>5</v>
      </c>
      <c r="AD1" s="7">
        <v>6</v>
      </c>
      <c r="AE1" s="7">
        <v>1</v>
      </c>
    </row>
    <row r="2" spans="1:35" x14ac:dyDescent="0.25">
      <c r="B2" s="7">
        <v>1043</v>
      </c>
      <c r="C2" s="7">
        <v>1249</v>
      </c>
      <c r="D2" s="10" t="s">
        <v>6</v>
      </c>
      <c r="H2" s="7">
        <v>1043</v>
      </c>
      <c r="I2" s="7">
        <v>1249</v>
      </c>
      <c r="J2" s="7">
        <v>1511</v>
      </c>
      <c r="K2" s="10" t="s">
        <v>6</v>
      </c>
      <c r="O2" s="7">
        <v>1043</v>
      </c>
      <c r="P2" s="7">
        <v>1249</v>
      </c>
      <c r="Q2" s="7">
        <v>1511</v>
      </c>
      <c r="R2" s="7">
        <v>1493</v>
      </c>
      <c r="S2" s="10" t="s">
        <v>6</v>
      </c>
      <c r="W2" s="7">
        <v>1043</v>
      </c>
      <c r="X2" s="7">
        <v>1249</v>
      </c>
      <c r="Y2" s="7">
        <v>1511</v>
      </c>
      <c r="Z2" s="7">
        <v>1493</v>
      </c>
      <c r="AA2" s="7">
        <v>1598</v>
      </c>
      <c r="AB2" s="7">
        <v>1085</v>
      </c>
      <c r="AC2" s="7">
        <v>1079</v>
      </c>
      <c r="AD2" s="7">
        <v>1154</v>
      </c>
      <c r="AE2" s="10" t="s">
        <v>6</v>
      </c>
    </row>
    <row r="3" spans="1:35" x14ac:dyDescent="0.25">
      <c r="A3" s="7" t="s">
        <v>0</v>
      </c>
      <c r="B3" s="7">
        <v>6041</v>
      </c>
      <c r="C3" s="7">
        <v>5970</v>
      </c>
      <c r="D3" s="7">
        <v>372</v>
      </c>
      <c r="G3" s="7" t="s">
        <v>0</v>
      </c>
      <c r="H3" s="7">
        <v>3970</v>
      </c>
      <c r="I3" s="7">
        <v>3978</v>
      </c>
      <c r="J3" s="7">
        <v>4063</v>
      </c>
      <c r="K3" s="7">
        <v>372</v>
      </c>
      <c r="N3" s="7" t="s">
        <v>0</v>
      </c>
      <c r="O3" s="7">
        <v>2967</v>
      </c>
      <c r="P3" s="7">
        <v>2964</v>
      </c>
      <c r="Q3" s="7">
        <v>2985</v>
      </c>
      <c r="R3" s="7">
        <v>3095</v>
      </c>
      <c r="S3" s="7">
        <v>372</v>
      </c>
      <c r="V3" s="7" t="s">
        <v>0</v>
      </c>
      <c r="W3" s="7">
        <v>1487</v>
      </c>
      <c r="X3" s="7">
        <v>1451</v>
      </c>
      <c r="Y3" s="7">
        <v>1477</v>
      </c>
      <c r="Z3" s="7">
        <v>1469</v>
      </c>
      <c r="AA3" s="7">
        <v>1514</v>
      </c>
      <c r="AB3" s="7">
        <v>1576</v>
      </c>
      <c r="AC3" s="7">
        <v>1495</v>
      </c>
      <c r="AD3" s="7">
        <v>1542</v>
      </c>
      <c r="AE3" s="7">
        <v>372</v>
      </c>
    </row>
    <row r="4" spans="1:35" x14ac:dyDescent="0.25">
      <c r="A4" s="8" t="s">
        <v>1</v>
      </c>
      <c r="B4" s="8">
        <v>5862</v>
      </c>
      <c r="C4" s="8">
        <v>5778</v>
      </c>
      <c r="D4" s="8">
        <v>371</v>
      </c>
      <c r="E4" s="8">
        <f>(B4+C4)/(B$3+C$3)</f>
        <v>0.96911164765631508</v>
      </c>
      <c r="G4" s="8" t="s">
        <v>1</v>
      </c>
      <c r="H4" s="8">
        <v>3845</v>
      </c>
      <c r="I4" s="8">
        <v>3865</v>
      </c>
      <c r="J4" s="8">
        <v>3928</v>
      </c>
      <c r="K4" s="8">
        <v>371</v>
      </c>
      <c r="L4" s="8">
        <f>(H4+I4+J4)/(H$3+I$3+J$3)</f>
        <v>0.96894513362750812</v>
      </c>
      <c r="N4" s="8" t="s">
        <v>1</v>
      </c>
      <c r="O4" s="8">
        <v>2865</v>
      </c>
      <c r="P4" s="8">
        <v>2877</v>
      </c>
      <c r="Q4" s="8">
        <v>2901</v>
      </c>
      <c r="R4" s="8">
        <v>2995</v>
      </c>
      <c r="S4" s="8">
        <v>371</v>
      </c>
      <c r="T4" s="8">
        <f>(O4+P4+Q4+R4)/(O$3+P$3+Q$3+R$4)</f>
        <v>0.97708001007472089</v>
      </c>
      <c r="V4" s="8" t="s">
        <v>1</v>
      </c>
      <c r="W4" s="8">
        <v>1444</v>
      </c>
      <c r="X4" s="8">
        <v>1406</v>
      </c>
      <c r="Y4" s="8">
        <v>1425</v>
      </c>
      <c r="Z4" s="8">
        <v>1427</v>
      </c>
      <c r="AA4" s="8">
        <v>1470</v>
      </c>
      <c r="AB4" s="8">
        <v>1518</v>
      </c>
      <c r="AC4" s="8">
        <v>1456</v>
      </c>
      <c r="AD4" s="8">
        <v>1492</v>
      </c>
      <c r="AE4" s="8">
        <v>371</v>
      </c>
      <c r="AF4" s="8">
        <f>SUM(W4:AD4)/SUM(W$3:AD$3)</f>
        <v>0.96894513362750812</v>
      </c>
      <c r="AG4" s="8"/>
      <c r="AH4" s="7" t="s">
        <v>8</v>
      </c>
      <c r="AI4" s="7" t="s">
        <v>10</v>
      </c>
    </row>
    <row r="5" spans="1:35" x14ac:dyDescent="0.25">
      <c r="A5" s="8" t="s">
        <v>2</v>
      </c>
      <c r="B5" s="8">
        <f>5862-B4</f>
        <v>0</v>
      </c>
      <c r="C5" s="8">
        <f>5778-C4</f>
        <v>0</v>
      </c>
      <c r="D5" s="8">
        <f>371-D4</f>
        <v>0</v>
      </c>
      <c r="E5" s="8">
        <f>(B5+C5)/(B$4+C$4)</f>
        <v>0</v>
      </c>
      <c r="G5" s="8" t="s">
        <v>2</v>
      </c>
      <c r="H5" s="8">
        <f>3845-H4</f>
        <v>0</v>
      </c>
      <c r="I5" s="8">
        <f>3866-I4</f>
        <v>1</v>
      </c>
      <c r="J5" s="8">
        <f>3928-J4</f>
        <v>0</v>
      </c>
      <c r="K5" s="8">
        <f>371-K4</f>
        <v>0</v>
      </c>
      <c r="L5" s="8">
        <f>(H5+I5+J5)/(H$4+I$4+J$4)</f>
        <v>8.5925416738271185E-5</v>
      </c>
      <c r="N5" s="8" t="s">
        <v>2</v>
      </c>
      <c r="O5" s="8">
        <f>2866-O4</f>
        <v>1</v>
      </c>
      <c r="P5" s="8">
        <f>2877-P4</f>
        <v>0</v>
      </c>
      <c r="Q5" s="8">
        <f>2901-Q4</f>
        <v>0</v>
      </c>
      <c r="R5" s="8">
        <f>2995-R4</f>
        <v>0</v>
      </c>
      <c r="S5" s="8">
        <f>371-S4</f>
        <v>0</v>
      </c>
      <c r="T5" s="8">
        <f>(O5+P5+Q5+R5)/(O$4+P$4+Q$4+R$4)</f>
        <v>8.5925416738271185E-5</v>
      </c>
      <c r="V5" s="8" t="s">
        <v>2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1</v>
      </c>
      <c r="AC5" s="8">
        <v>0</v>
      </c>
      <c r="AD5" s="8">
        <v>0</v>
      </c>
      <c r="AE5" s="8">
        <v>0</v>
      </c>
      <c r="AF5" s="8">
        <f>SUM(W5:AD5)/SUM(W$4:AD$4)</f>
        <v>8.5925416738271185E-5</v>
      </c>
      <c r="AG5" s="8"/>
      <c r="AH5" s="7" t="s">
        <v>9</v>
      </c>
      <c r="AI5" s="7" t="s">
        <v>11</v>
      </c>
    </row>
    <row r="6" spans="1:35" x14ac:dyDescent="0.25">
      <c r="A6" s="8" t="s">
        <v>8</v>
      </c>
      <c r="B6" s="7">
        <f>B4/B3</f>
        <v>0.97036914418142695</v>
      </c>
      <c r="C6" s="7">
        <f>C4/C3</f>
        <v>0.96783919597989954</v>
      </c>
      <c r="D6" s="7">
        <f>D4/D3</f>
        <v>0.99731182795698925</v>
      </c>
      <c r="G6" s="8" t="s">
        <v>8</v>
      </c>
      <c r="H6" s="7">
        <f t="shared" ref="H6:J6" si="0">H4/H3</f>
        <v>0.96851385390428213</v>
      </c>
      <c r="I6" s="7">
        <f t="shared" si="0"/>
        <v>0.97159376571141276</v>
      </c>
      <c r="J6" s="7">
        <f t="shared" si="0"/>
        <v>0.96677332020674378</v>
      </c>
      <c r="K6" s="7">
        <f t="shared" ref="K6" si="1">K4/K3</f>
        <v>0.99731182795698925</v>
      </c>
      <c r="N6" s="8" t="s">
        <v>8</v>
      </c>
      <c r="O6" s="7">
        <f t="shared" ref="O6:S6" si="2">O4/O3</f>
        <v>0.96562184024266939</v>
      </c>
      <c r="P6" s="7">
        <f t="shared" si="2"/>
        <v>0.97064777327935226</v>
      </c>
      <c r="Q6" s="7">
        <f t="shared" si="2"/>
        <v>0.97185929648241209</v>
      </c>
      <c r="R6" s="7">
        <f t="shared" si="2"/>
        <v>0.96768982229402267</v>
      </c>
      <c r="S6" s="7">
        <f t="shared" si="2"/>
        <v>0.99731182795698925</v>
      </c>
      <c r="V6" s="8" t="s">
        <v>8</v>
      </c>
      <c r="W6" s="7">
        <f t="shared" ref="W6:AD6" si="3">W4/W3</f>
        <v>0.97108271687962344</v>
      </c>
      <c r="X6" s="7">
        <f t="shared" si="3"/>
        <v>0.96898690558235701</v>
      </c>
      <c r="Y6" s="7">
        <f t="shared" si="3"/>
        <v>0.96479350033852407</v>
      </c>
      <c r="Z6" s="7">
        <f t="shared" si="3"/>
        <v>0.97140912185159978</v>
      </c>
      <c r="AA6" s="7">
        <f t="shared" si="3"/>
        <v>0.97093791281373842</v>
      </c>
      <c r="AB6" s="7">
        <f t="shared" si="3"/>
        <v>0.96319796954314718</v>
      </c>
      <c r="AC6" s="7">
        <f t="shared" si="3"/>
        <v>0.97391304347826091</v>
      </c>
      <c r="AD6" s="7">
        <f t="shared" si="3"/>
        <v>0.96757457846952011</v>
      </c>
      <c r="AE6" s="7">
        <f t="shared" ref="AE6" si="4">AE4/AE3</f>
        <v>0.99731182795698925</v>
      </c>
    </row>
    <row r="7" spans="1:35" x14ac:dyDescent="0.25">
      <c r="A7" s="8" t="s">
        <v>9</v>
      </c>
      <c r="B7" s="7">
        <f>B5/(B5+B4)</f>
        <v>0</v>
      </c>
      <c r="C7" s="7">
        <f>C5/(C5+C4)</f>
        <v>0</v>
      </c>
      <c r="D7" s="7">
        <f>D5/(D5+D4)</f>
        <v>0</v>
      </c>
      <c r="G7" s="8" t="s">
        <v>9</v>
      </c>
      <c r="H7" s="7">
        <f t="shared" ref="H7:J7" si="5">H5/(H5+H4)</f>
        <v>0</v>
      </c>
      <c r="I7" s="7">
        <f t="shared" si="5"/>
        <v>2.5866528711846869E-4</v>
      </c>
      <c r="J7" s="7">
        <f t="shared" si="5"/>
        <v>0</v>
      </c>
      <c r="K7" s="7">
        <f t="shared" ref="K7" si="6">K5/(K5+K4)</f>
        <v>0</v>
      </c>
      <c r="N7" s="8" t="s">
        <v>9</v>
      </c>
      <c r="O7" s="7">
        <f t="shared" ref="O7:S7" si="7">O5/(O5+O4)</f>
        <v>3.4891835310537332E-4</v>
      </c>
      <c r="P7" s="7">
        <f t="shared" si="7"/>
        <v>0</v>
      </c>
      <c r="Q7" s="7">
        <f t="shared" si="7"/>
        <v>0</v>
      </c>
      <c r="R7" s="7">
        <f t="shared" si="7"/>
        <v>0</v>
      </c>
      <c r="S7" s="7">
        <f t="shared" si="7"/>
        <v>0</v>
      </c>
      <c r="V7" s="8" t="s">
        <v>9</v>
      </c>
      <c r="W7" s="7">
        <f t="shared" ref="W7:AD7" si="8">W5/(W5+W4)</f>
        <v>0</v>
      </c>
      <c r="X7" s="7">
        <f t="shared" si="8"/>
        <v>0</v>
      </c>
      <c r="Y7" s="7">
        <f t="shared" si="8"/>
        <v>0</v>
      </c>
      <c r="Z7" s="7">
        <f t="shared" si="8"/>
        <v>0</v>
      </c>
      <c r="AA7" s="7">
        <f t="shared" si="8"/>
        <v>0</v>
      </c>
      <c r="AB7" s="7">
        <f t="shared" si="8"/>
        <v>6.583278472679394E-4</v>
      </c>
      <c r="AC7" s="7">
        <f t="shared" si="8"/>
        <v>0</v>
      </c>
      <c r="AD7" s="7">
        <f t="shared" si="8"/>
        <v>0</v>
      </c>
      <c r="AE7" s="7">
        <f t="shared" ref="AE7" si="9">AE5/(AE5+AE4)</f>
        <v>0</v>
      </c>
    </row>
    <row r="8" spans="1:35" x14ac:dyDescent="0.25">
      <c r="A8" s="8"/>
    </row>
    <row r="9" spans="1:35" x14ac:dyDescent="0.25">
      <c r="A9" s="8"/>
    </row>
    <row r="10" spans="1:35" x14ac:dyDescent="0.25">
      <c r="A10" s="7" t="s">
        <v>26</v>
      </c>
      <c r="B10" s="7">
        <v>6</v>
      </c>
      <c r="C10" s="7">
        <v>1</v>
      </c>
      <c r="D10" s="7">
        <v>2</v>
      </c>
      <c r="E10" s="7">
        <v>5</v>
      </c>
      <c r="F10" s="7">
        <v>4</v>
      </c>
      <c r="G10" s="7">
        <v>7</v>
      </c>
      <c r="H10" s="7">
        <v>3</v>
      </c>
      <c r="I10" s="7">
        <v>0</v>
      </c>
      <c r="L10" s="7" t="s">
        <v>27</v>
      </c>
      <c r="M10" s="7">
        <v>2</v>
      </c>
      <c r="N10" s="7">
        <v>8</v>
      </c>
      <c r="O10" s="7">
        <v>1</v>
      </c>
      <c r="P10" s="7">
        <v>7</v>
      </c>
      <c r="Q10" s="7">
        <v>6</v>
      </c>
      <c r="R10" s="7">
        <v>4</v>
      </c>
      <c r="S10" s="7">
        <v>5</v>
      </c>
      <c r="T10" s="7">
        <v>3</v>
      </c>
      <c r="U10" s="7">
        <v>0</v>
      </c>
      <c r="X10" s="7" t="s">
        <v>28</v>
      </c>
      <c r="Y10" s="7">
        <v>5</v>
      </c>
      <c r="Z10" s="7">
        <v>6</v>
      </c>
      <c r="AA10" s="7">
        <v>7</v>
      </c>
      <c r="AB10" s="7">
        <v>0</v>
      </c>
      <c r="AC10" s="7">
        <v>4</v>
      </c>
      <c r="AD10" s="7">
        <v>2</v>
      </c>
      <c r="AE10" s="7">
        <v>3</v>
      </c>
      <c r="AF10" s="7">
        <v>1</v>
      </c>
      <c r="AG10" s="7">
        <v>8</v>
      </c>
    </row>
    <row r="11" spans="1:35" x14ac:dyDescent="0.25">
      <c r="B11" s="7">
        <v>11</v>
      </c>
      <c r="C11" s="7">
        <v>28</v>
      </c>
      <c r="D11" s="7">
        <v>53</v>
      </c>
      <c r="E11" s="7">
        <v>110</v>
      </c>
      <c r="F11" s="7">
        <v>181</v>
      </c>
      <c r="G11" s="7">
        <v>195</v>
      </c>
      <c r="H11" s="7">
        <v>326</v>
      </c>
      <c r="I11" s="9" t="s">
        <v>6</v>
      </c>
      <c r="M11" s="7">
        <v>104</v>
      </c>
      <c r="N11" s="7">
        <v>114</v>
      </c>
      <c r="O11" s="7">
        <v>137</v>
      </c>
      <c r="P11" s="7">
        <v>145</v>
      </c>
      <c r="Q11" s="7">
        <v>161</v>
      </c>
      <c r="R11" s="7">
        <v>184</v>
      </c>
      <c r="S11" s="7">
        <v>212</v>
      </c>
      <c r="T11" s="7">
        <v>253</v>
      </c>
      <c r="U11" s="9" t="s">
        <v>6</v>
      </c>
      <c r="Y11" s="7">
        <v>77</v>
      </c>
      <c r="Z11" s="7">
        <v>78</v>
      </c>
      <c r="AA11" s="7">
        <v>2</v>
      </c>
      <c r="AB11" s="7">
        <v>31</v>
      </c>
      <c r="AC11" s="7">
        <v>169</v>
      </c>
      <c r="AD11" s="7">
        <v>43</v>
      </c>
      <c r="AE11" s="7">
        <v>124</v>
      </c>
      <c r="AF11" s="7">
        <v>320</v>
      </c>
      <c r="AG11" s="9" t="s">
        <v>6</v>
      </c>
    </row>
    <row r="12" spans="1:35" x14ac:dyDescent="0.25">
      <c r="A12" s="7" t="s">
        <v>14</v>
      </c>
      <c r="B12" s="7">
        <v>121</v>
      </c>
      <c r="C12" s="7">
        <v>91</v>
      </c>
      <c r="D12" s="7">
        <v>46</v>
      </c>
      <c r="E12" s="7">
        <v>111</v>
      </c>
      <c r="F12" s="7">
        <v>45</v>
      </c>
      <c r="G12" s="7">
        <v>162</v>
      </c>
      <c r="H12" s="7">
        <v>209</v>
      </c>
      <c r="I12" s="7">
        <v>128</v>
      </c>
      <c r="L12" s="7" t="s">
        <v>14</v>
      </c>
      <c r="M12" s="7">
        <v>880</v>
      </c>
      <c r="N12" s="7">
        <v>875</v>
      </c>
      <c r="O12" s="7">
        <v>789</v>
      </c>
      <c r="P12" s="7">
        <v>1098</v>
      </c>
      <c r="Q12" s="7">
        <v>1222</v>
      </c>
      <c r="R12" s="7">
        <v>972</v>
      </c>
      <c r="S12" s="7">
        <v>855</v>
      </c>
      <c r="T12" s="7">
        <v>981</v>
      </c>
      <c r="U12" s="7">
        <v>421</v>
      </c>
      <c r="X12" s="7" t="s">
        <v>14</v>
      </c>
      <c r="Y12" s="7">
        <v>613</v>
      </c>
      <c r="Z12" s="7">
        <v>1007</v>
      </c>
      <c r="AA12" s="7">
        <v>253</v>
      </c>
      <c r="AB12" s="7">
        <v>933</v>
      </c>
      <c r="AC12" s="7">
        <v>341</v>
      </c>
      <c r="AD12" s="7">
        <v>580</v>
      </c>
      <c r="AE12" s="7">
        <v>727</v>
      </c>
      <c r="AF12" s="7">
        <v>458</v>
      </c>
      <c r="AG12" s="7">
        <v>241</v>
      </c>
    </row>
    <row r="13" spans="1:35" x14ac:dyDescent="0.25">
      <c r="A13" s="7" t="s">
        <v>73</v>
      </c>
      <c r="B13" s="7">
        <v>117</v>
      </c>
      <c r="C13" s="7">
        <v>99</v>
      </c>
      <c r="D13" s="7">
        <v>49</v>
      </c>
      <c r="E13" s="7">
        <v>122</v>
      </c>
      <c r="F13" s="7">
        <v>52</v>
      </c>
      <c r="G13" s="7">
        <v>161</v>
      </c>
      <c r="H13" s="7">
        <v>207</v>
      </c>
      <c r="I13" s="7">
        <v>107</v>
      </c>
      <c r="L13" s="7" t="s">
        <v>73</v>
      </c>
      <c r="M13" s="7">
        <v>1024</v>
      </c>
      <c r="N13" s="7">
        <v>880</v>
      </c>
      <c r="O13" s="7">
        <v>735</v>
      </c>
      <c r="P13" s="7">
        <v>1200</v>
      </c>
      <c r="Q13" s="7">
        <v>1227</v>
      </c>
      <c r="R13" s="7">
        <v>975</v>
      </c>
      <c r="S13" s="7">
        <v>867</v>
      </c>
      <c r="T13" s="7">
        <v>1003</v>
      </c>
      <c r="U13" s="7">
        <v>229</v>
      </c>
      <c r="X13" s="7" t="s">
        <v>73</v>
      </c>
      <c r="Y13" s="7">
        <v>610</v>
      </c>
      <c r="Z13" s="7">
        <v>1115</v>
      </c>
      <c r="AA13" s="7">
        <v>269</v>
      </c>
      <c r="AB13" s="7">
        <v>1017</v>
      </c>
      <c r="AC13" s="7">
        <v>344</v>
      </c>
      <c r="AD13" s="7">
        <v>606</v>
      </c>
      <c r="AE13" s="7">
        <v>712</v>
      </c>
      <c r="AF13" s="7">
        <v>394</v>
      </c>
      <c r="AG13" s="7">
        <v>104</v>
      </c>
    </row>
    <row r="14" spans="1:35" x14ac:dyDescent="0.25">
      <c r="A14" s="8" t="s">
        <v>1</v>
      </c>
      <c r="B14" s="8">
        <v>116</v>
      </c>
      <c r="C14" s="8">
        <v>91</v>
      </c>
      <c r="D14" s="8">
        <v>43</v>
      </c>
      <c r="E14" s="8">
        <v>111</v>
      </c>
      <c r="F14" s="8">
        <v>43</v>
      </c>
      <c r="G14" s="8">
        <v>159</v>
      </c>
      <c r="H14" s="8">
        <v>205</v>
      </c>
      <c r="I14" s="8">
        <v>94</v>
      </c>
      <c r="J14" s="8">
        <f>SUM(B14:I14)/SUM(B$12:I$12)</f>
        <v>0.9441401971522454</v>
      </c>
      <c r="L14" s="8" t="s">
        <v>1</v>
      </c>
      <c r="M14" s="8">
        <v>840</v>
      </c>
      <c r="N14" s="8">
        <v>791</v>
      </c>
      <c r="O14" s="8">
        <v>677</v>
      </c>
      <c r="P14" s="8">
        <v>1060</v>
      </c>
      <c r="Q14" s="8">
        <v>1122</v>
      </c>
      <c r="R14" s="8">
        <v>883</v>
      </c>
      <c r="S14" s="8">
        <v>805</v>
      </c>
      <c r="T14" s="8">
        <v>921</v>
      </c>
      <c r="U14" s="8">
        <v>134</v>
      </c>
      <c r="V14" s="8">
        <f>SUM(M14:U14)/SUM(M$12:U$12)</f>
        <v>0.89373532682565182</v>
      </c>
      <c r="X14" s="8" t="s">
        <v>1</v>
      </c>
      <c r="Y14" s="8">
        <v>547</v>
      </c>
      <c r="Z14" s="8">
        <v>947</v>
      </c>
      <c r="AA14" s="8">
        <v>228</v>
      </c>
      <c r="AB14" s="8">
        <v>885</v>
      </c>
      <c r="AC14" s="8">
        <v>276</v>
      </c>
      <c r="AD14" s="8">
        <v>520</v>
      </c>
      <c r="AE14" s="8">
        <v>639</v>
      </c>
      <c r="AF14" s="8">
        <v>339</v>
      </c>
      <c r="AG14" s="8">
        <v>45</v>
      </c>
      <c r="AH14" s="8">
        <f>SUM(Y14:AG14)/SUM(Y$12:AG$12)</f>
        <v>0.85891713564913641</v>
      </c>
    </row>
    <row r="15" spans="1:35" x14ac:dyDescent="0.25">
      <c r="A15" s="8" t="s">
        <v>2</v>
      </c>
      <c r="B15" s="8">
        <f>B13-B14</f>
        <v>1</v>
      </c>
      <c r="C15" s="8">
        <f t="shared" ref="C15:I15" si="10">C13-C14</f>
        <v>8</v>
      </c>
      <c r="D15" s="8">
        <f t="shared" si="10"/>
        <v>6</v>
      </c>
      <c r="E15" s="8">
        <f t="shared" si="10"/>
        <v>11</v>
      </c>
      <c r="F15" s="8">
        <f t="shared" si="10"/>
        <v>9</v>
      </c>
      <c r="G15" s="8">
        <f t="shared" si="10"/>
        <v>2</v>
      </c>
      <c r="H15" s="8">
        <f t="shared" si="10"/>
        <v>2</v>
      </c>
      <c r="I15" s="8">
        <f t="shared" si="10"/>
        <v>13</v>
      </c>
      <c r="J15" s="8">
        <f>SUM(B15:I15)/SUM(B$14:I$15)</f>
        <v>5.689277899343545E-2</v>
      </c>
      <c r="L15" s="8" t="s">
        <v>2</v>
      </c>
      <c r="M15" s="8">
        <f t="shared" ref="M15:U15" si="11">M13-M14</f>
        <v>184</v>
      </c>
      <c r="N15" s="8">
        <f t="shared" si="11"/>
        <v>89</v>
      </c>
      <c r="O15" s="8">
        <f t="shared" si="11"/>
        <v>58</v>
      </c>
      <c r="P15" s="8">
        <f t="shared" si="11"/>
        <v>140</v>
      </c>
      <c r="Q15" s="8">
        <f t="shared" si="11"/>
        <v>105</v>
      </c>
      <c r="R15" s="8">
        <f t="shared" si="11"/>
        <v>92</v>
      </c>
      <c r="S15" s="8">
        <f t="shared" si="11"/>
        <v>62</v>
      </c>
      <c r="T15" s="8">
        <f t="shared" si="11"/>
        <v>82</v>
      </c>
      <c r="U15" s="8">
        <f t="shared" si="11"/>
        <v>95</v>
      </c>
      <c r="V15" s="8">
        <f>SUM(M15:U15)/SUM(M$14:U$15)</f>
        <v>0.11142506142506142</v>
      </c>
      <c r="X15" s="8" t="s">
        <v>2</v>
      </c>
      <c r="Y15" s="8">
        <f t="shared" ref="Y15:AG15" si="12">Y13-Y14</f>
        <v>63</v>
      </c>
      <c r="Z15" s="8">
        <f t="shared" si="12"/>
        <v>168</v>
      </c>
      <c r="AA15" s="8">
        <f t="shared" si="12"/>
        <v>41</v>
      </c>
      <c r="AB15" s="8">
        <f t="shared" si="12"/>
        <v>132</v>
      </c>
      <c r="AC15" s="8">
        <f t="shared" si="12"/>
        <v>68</v>
      </c>
      <c r="AD15" s="8">
        <f t="shared" si="12"/>
        <v>86</v>
      </c>
      <c r="AE15" s="8">
        <f t="shared" si="12"/>
        <v>73</v>
      </c>
      <c r="AF15" s="8">
        <f t="shared" si="12"/>
        <v>55</v>
      </c>
      <c r="AG15" s="8">
        <f t="shared" si="12"/>
        <v>59</v>
      </c>
      <c r="AH15" s="8">
        <f>SUM(Y15:AG15)/SUM(Y$14:AG$15)</f>
        <v>0.14407271320827694</v>
      </c>
    </row>
    <row r="16" spans="1:35" x14ac:dyDescent="0.25">
      <c r="A16" s="8" t="s">
        <v>8</v>
      </c>
      <c r="B16" s="7">
        <f t="shared" ref="B16:I16" si="13">B14/B12</f>
        <v>0.95867768595041325</v>
      </c>
      <c r="C16" s="7">
        <f t="shared" si="13"/>
        <v>1</v>
      </c>
      <c r="D16" s="7">
        <f t="shared" si="13"/>
        <v>0.93478260869565222</v>
      </c>
      <c r="E16" s="7">
        <f t="shared" si="13"/>
        <v>1</v>
      </c>
      <c r="F16" s="7">
        <f t="shared" si="13"/>
        <v>0.9555555555555556</v>
      </c>
      <c r="G16" s="7">
        <f t="shared" si="13"/>
        <v>0.98148148148148151</v>
      </c>
      <c r="H16" s="7">
        <f t="shared" si="13"/>
        <v>0.98086124401913877</v>
      </c>
      <c r="I16" s="7">
        <f t="shared" si="13"/>
        <v>0.734375</v>
      </c>
      <c r="L16" s="8" t="s">
        <v>8</v>
      </c>
      <c r="M16" s="7">
        <f t="shared" ref="M16:T16" si="14">M14/M12</f>
        <v>0.95454545454545459</v>
      </c>
      <c r="N16" s="7">
        <f t="shared" si="14"/>
        <v>0.90400000000000003</v>
      </c>
      <c r="O16" s="7">
        <f t="shared" si="14"/>
        <v>0.85804816223067171</v>
      </c>
      <c r="P16" s="7">
        <f t="shared" si="14"/>
        <v>0.96539162112932608</v>
      </c>
      <c r="Q16" s="7">
        <f t="shared" si="14"/>
        <v>0.91816693944353522</v>
      </c>
      <c r="R16" s="7">
        <f t="shared" si="14"/>
        <v>0.90843621399176955</v>
      </c>
      <c r="S16" s="7">
        <f t="shared" si="14"/>
        <v>0.94152046783625731</v>
      </c>
      <c r="T16" s="7">
        <f t="shared" si="14"/>
        <v>0.9388379204892966</v>
      </c>
      <c r="U16" s="7">
        <f t="shared" ref="U16" si="15">U14/U12</f>
        <v>0.31828978622327792</v>
      </c>
      <c r="X16" s="8" t="s">
        <v>8</v>
      </c>
      <c r="Y16" s="7">
        <f t="shared" ref="Y16:AD16" si="16">Y14/Y12</f>
        <v>0.8923327895595432</v>
      </c>
      <c r="Z16" s="7">
        <f t="shared" si="16"/>
        <v>0.94041708043694139</v>
      </c>
      <c r="AA16" s="7">
        <f t="shared" si="16"/>
        <v>0.90118577075098816</v>
      </c>
      <c r="AB16" s="7">
        <f t="shared" si="16"/>
        <v>0.94855305466237938</v>
      </c>
      <c r="AC16" s="7">
        <f t="shared" si="16"/>
        <v>0.80938416422287385</v>
      </c>
      <c r="AD16" s="7">
        <f t="shared" si="16"/>
        <v>0.89655172413793105</v>
      </c>
      <c r="AE16" s="7">
        <f t="shared" ref="AE16:AF16" si="17">AE14/AE12</f>
        <v>0.87895460797799174</v>
      </c>
      <c r="AF16" s="7">
        <f t="shared" si="17"/>
        <v>0.74017467248908297</v>
      </c>
      <c r="AG16" s="7">
        <f t="shared" ref="AG16" si="18">AG14/AG12</f>
        <v>0.18672199170124482</v>
      </c>
    </row>
    <row r="17" spans="1:34" x14ac:dyDescent="0.25">
      <c r="A17" s="8" t="s">
        <v>9</v>
      </c>
      <c r="B17" s="7">
        <f t="shared" ref="B17:I17" si="19">B15/(B15+B14)</f>
        <v>8.5470085470085479E-3</v>
      </c>
      <c r="C17" s="7">
        <f t="shared" si="19"/>
        <v>8.0808080808080815E-2</v>
      </c>
      <c r="D17" s="7">
        <f t="shared" si="19"/>
        <v>0.12244897959183673</v>
      </c>
      <c r="E17" s="7">
        <f t="shared" si="19"/>
        <v>9.0163934426229511E-2</v>
      </c>
      <c r="F17" s="7">
        <f t="shared" si="19"/>
        <v>0.17307692307692307</v>
      </c>
      <c r="G17" s="7">
        <f t="shared" si="19"/>
        <v>1.2422360248447204E-2</v>
      </c>
      <c r="H17" s="7">
        <f t="shared" si="19"/>
        <v>9.6618357487922701E-3</v>
      </c>
      <c r="I17" s="7">
        <f t="shared" si="19"/>
        <v>0.12149532710280374</v>
      </c>
      <c r="L17" s="8" t="s">
        <v>9</v>
      </c>
      <c r="M17" s="7">
        <f t="shared" ref="M17:T17" si="20">M15/(M15+M14)</f>
        <v>0.1796875</v>
      </c>
      <c r="N17" s="7">
        <f t="shared" si="20"/>
        <v>0.10113636363636364</v>
      </c>
      <c r="O17" s="7">
        <f t="shared" si="20"/>
        <v>7.8911564625850333E-2</v>
      </c>
      <c r="P17" s="7">
        <f t="shared" si="20"/>
        <v>0.11666666666666667</v>
      </c>
      <c r="Q17" s="7">
        <f t="shared" si="20"/>
        <v>8.557457212713937E-2</v>
      </c>
      <c r="R17" s="7">
        <f t="shared" si="20"/>
        <v>9.4358974358974362E-2</v>
      </c>
      <c r="S17" s="7">
        <f t="shared" si="20"/>
        <v>7.1510957324106117E-2</v>
      </c>
      <c r="T17" s="7">
        <f t="shared" si="20"/>
        <v>8.175473579262213E-2</v>
      </c>
      <c r="U17" s="7">
        <f t="shared" ref="U17" si="21">U15/(U15+U14)</f>
        <v>0.41484716157205243</v>
      </c>
      <c r="X17" s="8" t="s">
        <v>9</v>
      </c>
      <c r="Y17" s="7">
        <f t="shared" ref="Y17:AD17" si="22">Y15/(Y15+Y14)</f>
        <v>0.10327868852459017</v>
      </c>
      <c r="Z17" s="7">
        <f t="shared" si="22"/>
        <v>0.15067264573991032</v>
      </c>
      <c r="AA17" s="7">
        <f t="shared" si="22"/>
        <v>0.15241635687732341</v>
      </c>
      <c r="AB17" s="7">
        <f t="shared" si="22"/>
        <v>0.12979351032448377</v>
      </c>
      <c r="AC17" s="7">
        <f t="shared" si="22"/>
        <v>0.19767441860465115</v>
      </c>
      <c r="AD17" s="7">
        <f t="shared" si="22"/>
        <v>0.14191419141914191</v>
      </c>
      <c r="AE17" s="7">
        <f t="shared" ref="AE17:AF17" si="23">AE15/(AE15+AE14)</f>
        <v>0.10252808988764045</v>
      </c>
      <c r="AF17" s="7">
        <f t="shared" si="23"/>
        <v>0.13959390862944163</v>
      </c>
      <c r="AG17" s="7">
        <f t="shared" ref="AG17" si="24">AG15/(AG15+AG14)</f>
        <v>0.56730769230769229</v>
      </c>
    </row>
    <row r="18" spans="1:34" x14ac:dyDescent="0.25">
      <c r="A18" s="7" t="s">
        <v>73</v>
      </c>
      <c r="B18" s="7">
        <v>111</v>
      </c>
      <c r="C18" s="7">
        <v>94</v>
      </c>
      <c r="D18" s="7">
        <v>46</v>
      </c>
      <c r="E18" s="7">
        <v>115</v>
      </c>
      <c r="F18" s="7">
        <v>49</v>
      </c>
      <c r="G18" s="7">
        <v>152</v>
      </c>
      <c r="H18" s="7">
        <v>196</v>
      </c>
      <c r="I18" s="7">
        <v>151</v>
      </c>
      <c r="L18" s="7" t="s">
        <v>73</v>
      </c>
      <c r="M18" s="7">
        <v>972</v>
      </c>
      <c r="N18" s="7">
        <v>836</v>
      </c>
      <c r="O18" s="7">
        <v>698</v>
      </c>
      <c r="P18" s="7">
        <v>1140</v>
      </c>
      <c r="Q18" s="7">
        <v>1165</v>
      </c>
      <c r="R18" s="7">
        <v>926</v>
      </c>
      <c r="S18" s="7">
        <v>823</v>
      </c>
      <c r="T18" s="7">
        <v>952</v>
      </c>
      <c r="U18" s="7">
        <v>628</v>
      </c>
      <c r="X18" s="7" t="s">
        <v>73</v>
      </c>
      <c r="Y18" s="7">
        <v>579</v>
      </c>
      <c r="Z18" s="7">
        <v>1059</v>
      </c>
      <c r="AA18" s="7">
        <v>255</v>
      </c>
      <c r="AB18" s="7">
        <v>996</v>
      </c>
      <c r="AC18" s="7">
        <v>326</v>
      </c>
      <c r="AD18" s="7">
        <v>575</v>
      </c>
      <c r="AE18" s="7">
        <v>676</v>
      </c>
      <c r="AF18" s="7">
        <v>374</v>
      </c>
      <c r="AG18" s="7">
        <v>361</v>
      </c>
    </row>
    <row r="19" spans="1:34" x14ac:dyDescent="0.25">
      <c r="A19" s="8" t="s">
        <v>1</v>
      </c>
      <c r="B19" s="8">
        <v>110</v>
      </c>
      <c r="C19" s="8">
        <v>87</v>
      </c>
      <c r="D19" s="8">
        <v>41</v>
      </c>
      <c r="E19" s="8">
        <v>105</v>
      </c>
      <c r="F19" s="8">
        <v>41</v>
      </c>
      <c r="G19" s="8">
        <v>151</v>
      </c>
      <c r="H19" s="8">
        <v>194</v>
      </c>
      <c r="I19" s="8">
        <v>99</v>
      </c>
      <c r="J19" s="8">
        <f>SUM(B19:I19)/SUM(B$12:I$12)</f>
        <v>0.90690032858707559</v>
      </c>
      <c r="L19" s="8" t="s">
        <v>1</v>
      </c>
      <c r="M19" s="8">
        <v>805</v>
      </c>
      <c r="N19" s="8">
        <v>761</v>
      </c>
      <c r="O19" s="8">
        <v>646</v>
      </c>
      <c r="P19" s="8">
        <v>1012</v>
      </c>
      <c r="Q19" s="8">
        <v>1063</v>
      </c>
      <c r="R19" s="8">
        <v>850</v>
      </c>
      <c r="S19" s="8">
        <v>783</v>
      </c>
      <c r="T19" s="8">
        <v>867</v>
      </c>
      <c r="U19" s="8">
        <v>167</v>
      </c>
      <c r="V19" s="8">
        <f>SUM(M19:U19)/SUM(M$12:U$12)</f>
        <v>0.85926108983071792</v>
      </c>
      <c r="X19" s="8" t="s">
        <v>1</v>
      </c>
      <c r="Y19" s="8">
        <v>526</v>
      </c>
      <c r="Z19" s="8">
        <v>899</v>
      </c>
      <c r="AA19" s="8">
        <v>218</v>
      </c>
      <c r="AB19" s="8">
        <v>837</v>
      </c>
      <c r="AC19" s="8">
        <v>266</v>
      </c>
      <c r="AD19" s="8">
        <v>497</v>
      </c>
      <c r="AE19" s="8">
        <v>612</v>
      </c>
      <c r="AF19" s="8">
        <v>325</v>
      </c>
      <c r="AG19" s="8">
        <v>71</v>
      </c>
      <c r="AH19" s="8">
        <f>SUM(Y19:AG19)/SUM(Y$12:AG$12)</f>
        <v>0.8249563361148845</v>
      </c>
    </row>
    <row r="20" spans="1:34" x14ac:dyDescent="0.25">
      <c r="A20" s="8" t="s">
        <v>2</v>
      </c>
      <c r="B20" s="8">
        <f t="shared" ref="B20:I20" si="25">B18-B19</f>
        <v>1</v>
      </c>
      <c r="C20" s="8">
        <f t="shared" si="25"/>
        <v>7</v>
      </c>
      <c r="D20" s="8">
        <f t="shared" si="25"/>
        <v>5</v>
      </c>
      <c r="E20" s="8">
        <f t="shared" si="25"/>
        <v>10</v>
      </c>
      <c r="F20" s="8">
        <f t="shared" si="25"/>
        <v>8</v>
      </c>
      <c r="G20" s="8">
        <f t="shared" si="25"/>
        <v>1</v>
      </c>
      <c r="H20" s="8">
        <f t="shared" si="25"/>
        <v>2</v>
      </c>
      <c r="I20" s="8">
        <f t="shared" si="25"/>
        <v>52</v>
      </c>
      <c r="J20" s="8">
        <f>SUM(B20:I20)/SUM(B$14:I$15)</f>
        <v>9.4091903719912467E-2</v>
      </c>
      <c r="L20" s="8" t="s">
        <v>2</v>
      </c>
      <c r="M20" s="8">
        <f t="shared" ref="M20:U20" si="26">M18-M19</f>
        <v>167</v>
      </c>
      <c r="N20" s="8">
        <f t="shared" si="26"/>
        <v>75</v>
      </c>
      <c r="O20" s="8">
        <f t="shared" si="26"/>
        <v>52</v>
      </c>
      <c r="P20" s="8">
        <f t="shared" si="26"/>
        <v>128</v>
      </c>
      <c r="Q20" s="8">
        <f t="shared" si="26"/>
        <v>102</v>
      </c>
      <c r="R20" s="8">
        <f t="shared" si="26"/>
        <v>76</v>
      </c>
      <c r="S20" s="8">
        <f t="shared" si="26"/>
        <v>40</v>
      </c>
      <c r="T20" s="8">
        <f t="shared" si="26"/>
        <v>85</v>
      </c>
      <c r="U20" s="8">
        <f t="shared" si="26"/>
        <v>461</v>
      </c>
      <c r="V20" s="8">
        <f>SUM(M20:U20)/SUM(M$14:U$15)</f>
        <v>0.1457002457002457</v>
      </c>
      <c r="X20" s="8" t="s">
        <v>2</v>
      </c>
      <c r="Y20" s="8">
        <f t="shared" ref="Y20:AG20" si="27">Y18-Y19</f>
        <v>53</v>
      </c>
      <c r="Z20" s="8">
        <f t="shared" si="27"/>
        <v>160</v>
      </c>
      <c r="AA20" s="8">
        <f t="shared" si="27"/>
        <v>37</v>
      </c>
      <c r="AB20" s="8">
        <f t="shared" si="27"/>
        <v>159</v>
      </c>
      <c r="AC20" s="8">
        <f t="shared" si="27"/>
        <v>60</v>
      </c>
      <c r="AD20" s="8">
        <f t="shared" si="27"/>
        <v>78</v>
      </c>
      <c r="AE20" s="8">
        <f t="shared" si="27"/>
        <v>64</v>
      </c>
      <c r="AF20" s="8">
        <f t="shared" si="27"/>
        <v>49</v>
      </c>
      <c r="AG20" s="8">
        <f t="shared" si="27"/>
        <v>290</v>
      </c>
      <c r="AH20" s="8">
        <f>SUM(Y20:AG20)/SUM(Y$14:AG$15)</f>
        <v>0.18371688261458133</v>
      </c>
    </row>
    <row r="21" spans="1:34" x14ac:dyDescent="0.25">
      <c r="A21" s="8" t="s">
        <v>8</v>
      </c>
      <c r="B21" s="7">
        <f t="shared" ref="B21:I21" si="28">B19/B12</f>
        <v>0.90909090909090906</v>
      </c>
      <c r="C21" s="7">
        <f t="shared" si="28"/>
        <v>0.95604395604395609</v>
      </c>
      <c r="D21" s="7">
        <f t="shared" si="28"/>
        <v>0.89130434782608692</v>
      </c>
      <c r="E21" s="7">
        <f t="shared" si="28"/>
        <v>0.94594594594594594</v>
      </c>
      <c r="F21" s="7">
        <f t="shared" si="28"/>
        <v>0.91111111111111109</v>
      </c>
      <c r="G21" s="7">
        <f t="shared" si="28"/>
        <v>0.9320987654320988</v>
      </c>
      <c r="H21" s="7">
        <f t="shared" si="28"/>
        <v>0.92822966507177029</v>
      </c>
      <c r="I21" s="7">
        <f t="shared" si="28"/>
        <v>0.7734375</v>
      </c>
      <c r="L21" s="8" t="s">
        <v>8</v>
      </c>
      <c r="M21" s="7">
        <f t="shared" ref="M21:U21" si="29">M19/M12</f>
        <v>0.91477272727272729</v>
      </c>
      <c r="N21" s="7">
        <f t="shared" si="29"/>
        <v>0.86971428571428566</v>
      </c>
      <c r="O21" s="7">
        <f t="shared" si="29"/>
        <v>0.81875792141951842</v>
      </c>
      <c r="P21" s="7">
        <f t="shared" si="29"/>
        <v>0.92167577413479052</v>
      </c>
      <c r="Q21" s="7">
        <f t="shared" si="29"/>
        <v>0.86988543371522098</v>
      </c>
      <c r="R21" s="7">
        <f t="shared" si="29"/>
        <v>0.87448559670781889</v>
      </c>
      <c r="S21" s="7">
        <f t="shared" si="29"/>
        <v>0.91578947368421049</v>
      </c>
      <c r="T21" s="7">
        <f t="shared" si="29"/>
        <v>0.88379204892966357</v>
      </c>
      <c r="U21" s="7">
        <f t="shared" si="29"/>
        <v>0.39667458432304037</v>
      </c>
      <c r="X21" s="8" t="s">
        <v>8</v>
      </c>
      <c r="Y21" s="7">
        <f t="shared" ref="Y21:AG21" si="30">Y19/Y12</f>
        <v>0.8580750407830342</v>
      </c>
      <c r="Z21" s="7">
        <f t="shared" si="30"/>
        <v>0.89275074478649452</v>
      </c>
      <c r="AA21" s="7">
        <f t="shared" si="30"/>
        <v>0.86166007905138342</v>
      </c>
      <c r="AB21" s="7">
        <f t="shared" si="30"/>
        <v>0.89710610932475887</v>
      </c>
      <c r="AC21" s="7">
        <f t="shared" si="30"/>
        <v>0.78005865102639294</v>
      </c>
      <c r="AD21" s="7">
        <f t="shared" si="30"/>
        <v>0.85689655172413792</v>
      </c>
      <c r="AE21" s="7">
        <f t="shared" si="30"/>
        <v>0.8418156808803301</v>
      </c>
      <c r="AF21" s="7">
        <f t="shared" si="30"/>
        <v>0.70960698689956336</v>
      </c>
      <c r="AG21" s="7">
        <f t="shared" si="30"/>
        <v>0.29460580912863071</v>
      </c>
    </row>
    <row r="22" spans="1:34" x14ac:dyDescent="0.25">
      <c r="A22" s="8" t="s">
        <v>9</v>
      </c>
      <c r="B22" s="7">
        <f t="shared" ref="B22:I22" si="31">B20/(B20+B19)</f>
        <v>9.0090090090090089E-3</v>
      </c>
      <c r="C22" s="7">
        <f t="shared" si="31"/>
        <v>7.4468085106382975E-2</v>
      </c>
      <c r="D22" s="7">
        <f t="shared" si="31"/>
        <v>0.10869565217391304</v>
      </c>
      <c r="E22" s="7">
        <f t="shared" si="31"/>
        <v>8.6956521739130432E-2</v>
      </c>
      <c r="F22" s="7">
        <f t="shared" si="31"/>
        <v>0.16326530612244897</v>
      </c>
      <c r="G22" s="7">
        <f t="shared" si="31"/>
        <v>6.5789473684210523E-3</v>
      </c>
      <c r="H22" s="7">
        <f t="shared" si="31"/>
        <v>1.020408163265306E-2</v>
      </c>
      <c r="I22" s="7">
        <f t="shared" si="31"/>
        <v>0.3443708609271523</v>
      </c>
      <c r="L22" s="8" t="s">
        <v>9</v>
      </c>
      <c r="M22" s="7">
        <f t="shared" ref="M22:U22" si="32">M20/(M20+M19)</f>
        <v>0.17181069958847736</v>
      </c>
      <c r="N22" s="7">
        <f t="shared" si="32"/>
        <v>8.9712918660287078E-2</v>
      </c>
      <c r="O22" s="7">
        <f t="shared" si="32"/>
        <v>7.4498567335243557E-2</v>
      </c>
      <c r="P22" s="7">
        <f t="shared" si="32"/>
        <v>0.11228070175438597</v>
      </c>
      <c r="Q22" s="7">
        <f t="shared" si="32"/>
        <v>8.7553648068669526E-2</v>
      </c>
      <c r="R22" s="7">
        <f t="shared" si="32"/>
        <v>8.2073434125269976E-2</v>
      </c>
      <c r="S22" s="7">
        <f t="shared" si="32"/>
        <v>4.8602673147023087E-2</v>
      </c>
      <c r="T22" s="7">
        <f t="shared" si="32"/>
        <v>8.9285714285714288E-2</v>
      </c>
      <c r="U22" s="7">
        <f t="shared" si="32"/>
        <v>0.73407643312101911</v>
      </c>
      <c r="X22" s="8" t="s">
        <v>9</v>
      </c>
      <c r="Y22" s="7">
        <f t="shared" ref="Y22:AG22" si="33">Y20/(Y20+Y19)</f>
        <v>9.1537132987910191E-2</v>
      </c>
      <c r="Z22" s="7">
        <f t="shared" si="33"/>
        <v>0.15108593012275731</v>
      </c>
      <c r="AA22" s="7">
        <f t="shared" si="33"/>
        <v>0.14509803921568629</v>
      </c>
      <c r="AB22" s="7">
        <f t="shared" si="33"/>
        <v>0.15963855421686746</v>
      </c>
      <c r="AC22" s="7">
        <f t="shared" si="33"/>
        <v>0.18404907975460122</v>
      </c>
      <c r="AD22" s="7">
        <f t="shared" si="33"/>
        <v>0.13565217391304349</v>
      </c>
      <c r="AE22" s="7">
        <f t="shared" si="33"/>
        <v>9.4674556213017749E-2</v>
      </c>
      <c r="AF22" s="7">
        <f t="shared" si="33"/>
        <v>0.13101604278074866</v>
      </c>
      <c r="AG22" s="7">
        <f t="shared" si="33"/>
        <v>0.80332409972299168</v>
      </c>
    </row>
    <row r="23" spans="1:34" x14ac:dyDescent="0.25">
      <c r="A23" s="8" t="s">
        <v>13</v>
      </c>
      <c r="B23" s="7">
        <v>141</v>
      </c>
      <c r="C23" s="7">
        <v>74</v>
      </c>
      <c r="D23" s="7">
        <v>21</v>
      </c>
      <c r="E23" s="7">
        <v>94</v>
      </c>
      <c r="F23" s="7">
        <v>48</v>
      </c>
      <c r="G23" s="7">
        <v>129</v>
      </c>
      <c r="H23" s="7">
        <v>33</v>
      </c>
      <c r="I23" s="7">
        <v>447</v>
      </c>
      <c r="L23" s="8" t="s">
        <v>13</v>
      </c>
      <c r="M23" s="7">
        <v>637</v>
      </c>
      <c r="N23" s="7">
        <v>531</v>
      </c>
      <c r="O23" s="7">
        <v>473</v>
      </c>
      <c r="P23" s="7">
        <v>783</v>
      </c>
      <c r="Q23" s="7">
        <v>822</v>
      </c>
      <c r="R23" s="7">
        <v>730</v>
      </c>
      <c r="S23" s="7">
        <v>623</v>
      </c>
      <c r="T23" s="7">
        <v>657</v>
      </c>
      <c r="U23" s="7">
        <v>2518</v>
      </c>
      <c r="X23" s="8" t="s">
        <v>13</v>
      </c>
      <c r="Y23" s="7">
        <v>420</v>
      </c>
      <c r="Z23" s="7">
        <v>775</v>
      </c>
      <c r="AA23" s="7">
        <v>179</v>
      </c>
      <c r="AB23" s="7">
        <v>706</v>
      </c>
      <c r="AC23" s="7">
        <v>206</v>
      </c>
      <c r="AD23" s="7">
        <v>419</v>
      </c>
      <c r="AE23" s="7">
        <v>473</v>
      </c>
      <c r="AF23" s="7">
        <v>254</v>
      </c>
      <c r="AG23" s="7">
        <v>1627</v>
      </c>
    </row>
    <row r="24" spans="1:34" x14ac:dyDescent="0.25">
      <c r="A24" s="8" t="s">
        <v>1</v>
      </c>
      <c r="B24" s="7">
        <v>65</v>
      </c>
      <c r="C24" s="7">
        <v>45</v>
      </c>
      <c r="D24" s="7">
        <v>29</v>
      </c>
      <c r="E24" s="7">
        <v>70</v>
      </c>
      <c r="F24" s="7">
        <v>20</v>
      </c>
      <c r="G24" s="7">
        <v>92</v>
      </c>
      <c r="H24" s="7">
        <v>121</v>
      </c>
      <c r="I24" s="7">
        <v>129</v>
      </c>
      <c r="J24" s="8">
        <f>SUM(B24:I24)/SUM(B$23:I$23)</f>
        <v>0.57852077001013169</v>
      </c>
      <c r="L24" s="8" t="s">
        <v>1</v>
      </c>
      <c r="M24" s="7">
        <v>604</v>
      </c>
      <c r="N24" s="7">
        <v>506</v>
      </c>
      <c r="O24" s="7">
        <v>442</v>
      </c>
      <c r="P24" s="7">
        <v>747</v>
      </c>
      <c r="Q24" s="7">
        <v>780</v>
      </c>
      <c r="R24" s="7">
        <v>680</v>
      </c>
      <c r="S24" s="7">
        <v>592</v>
      </c>
      <c r="T24" s="7">
        <v>249</v>
      </c>
      <c r="U24" s="7">
        <v>360</v>
      </c>
      <c r="V24" s="8">
        <f>SUM(N24:U24)/SUM(N$23:U$23)</f>
        <v>0.61034047919293821</v>
      </c>
      <c r="X24" s="8" t="s">
        <v>1</v>
      </c>
      <c r="Y24" s="7">
        <v>415</v>
      </c>
      <c r="Z24" s="7">
        <v>772</v>
      </c>
      <c r="AA24" s="7">
        <v>175</v>
      </c>
      <c r="AB24" s="7">
        <v>699</v>
      </c>
      <c r="AC24" s="7">
        <v>203</v>
      </c>
      <c r="AD24" s="7">
        <v>413</v>
      </c>
      <c r="AE24" s="7">
        <v>469</v>
      </c>
      <c r="AF24" s="7">
        <v>249</v>
      </c>
      <c r="AG24" s="7">
        <v>102</v>
      </c>
      <c r="AH24" s="8">
        <f>SUM(Y24:AG24)/SUM(Y$23:AG$23)</f>
        <v>0.69124332872109118</v>
      </c>
    </row>
    <row r="25" spans="1:34" x14ac:dyDescent="0.25">
      <c r="A25" s="8" t="s">
        <v>2</v>
      </c>
      <c r="B25" s="8">
        <f>111-B24</f>
        <v>46</v>
      </c>
      <c r="C25" s="8">
        <f>94-C24</f>
        <v>49</v>
      </c>
      <c r="D25" s="8">
        <f>45-D24</f>
        <v>16</v>
      </c>
      <c r="E25" s="8">
        <f>115-E24</f>
        <v>45</v>
      </c>
      <c r="F25" s="8">
        <f>46-F24</f>
        <v>26</v>
      </c>
      <c r="G25" s="8">
        <f>154-G24</f>
        <v>62</v>
      </c>
      <c r="H25" s="8">
        <f>196-H24</f>
        <v>75</v>
      </c>
      <c r="I25" s="8">
        <f>153-I24</f>
        <v>24</v>
      </c>
      <c r="J25" s="8">
        <f>SUM(B25:I25)/SUM(B$24:I$25)</f>
        <v>0.37527352297592997</v>
      </c>
      <c r="L25" s="8" t="s">
        <v>2</v>
      </c>
      <c r="M25" s="8">
        <f>1008-M24</f>
        <v>404</v>
      </c>
      <c r="N25" s="8">
        <f>854-N24</f>
        <v>348</v>
      </c>
      <c r="O25" s="8">
        <f>715-O24</f>
        <v>273</v>
      </c>
      <c r="P25" s="8">
        <f>1182-P24</f>
        <v>435</v>
      </c>
      <c r="Q25" s="8">
        <f>1194-Q24</f>
        <v>414</v>
      </c>
      <c r="R25" s="8">
        <f>972-R24</f>
        <v>292</v>
      </c>
      <c r="S25" s="8">
        <f>844-S24</f>
        <v>252</v>
      </c>
      <c r="T25" s="8">
        <f>614-T24</f>
        <v>365</v>
      </c>
      <c r="U25" s="8">
        <f>781-U24</f>
        <v>421</v>
      </c>
      <c r="V25" s="8">
        <f>SUM(M25:U25)/SUM(M$24:U$25)</f>
        <v>0.39245467907888287</v>
      </c>
      <c r="X25" s="8" t="s">
        <v>2</v>
      </c>
      <c r="Y25" s="8">
        <f>582-Y24</f>
        <v>167</v>
      </c>
      <c r="Z25" s="8">
        <f>713-Z24</f>
        <v>-59</v>
      </c>
      <c r="AA25" s="8">
        <f>257-AA24</f>
        <v>82</v>
      </c>
      <c r="AB25" s="8">
        <f>997-AB24</f>
        <v>298</v>
      </c>
      <c r="AC25" s="8">
        <f>326-AC24</f>
        <v>123</v>
      </c>
      <c r="AD25" s="8">
        <f>577-AD24</f>
        <v>164</v>
      </c>
      <c r="AE25" s="8">
        <f>684-AE24</f>
        <v>215</v>
      </c>
      <c r="AF25" s="8">
        <f>380-AF24</f>
        <v>131</v>
      </c>
      <c r="AG25" s="8">
        <f>644-AG24</f>
        <v>542</v>
      </c>
      <c r="AH25" s="8">
        <f>SUM(Y25:AG25)/SUM(Y$24:AG$25)</f>
        <v>0.32228682170542633</v>
      </c>
    </row>
    <row r="26" spans="1:34" x14ac:dyDescent="0.25">
      <c r="A26" s="8" t="s">
        <v>8</v>
      </c>
      <c r="B26" s="7">
        <f t="shared" ref="B26:I26" si="34">B24/B23</f>
        <v>0.46099290780141844</v>
      </c>
      <c r="C26" s="7">
        <f t="shared" si="34"/>
        <v>0.60810810810810811</v>
      </c>
      <c r="D26" s="7">
        <f t="shared" si="34"/>
        <v>1.3809523809523809</v>
      </c>
      <c r="E26" s="7">
        <f t="shared" si="34"/>
        <v>0.74468085106382975</v>
      </c>
      <c r="F26" s="7">
        <f t="shared" si="34"/>
        <v>0.41666666666666669</v>
      </c>
      <c r="G26" s="7">
        <f t="shared" si="34"/>
        <v>0.71317829457364346</v>
      </c>
      <c r="H26" s="7">
        <f t="shared" si="34"/>
        <v>3.6666666666666665</v>
      </c>
      <c r="I26" s="7">
        <f t="shared" si="34"/>
        <v>0.28859060402684567</v>
      </c>
      <c r="L26" s="8" t="s">
        <v>8</v>
      </c>
      <c r="M26" s="7">
        <f t="shared" ref="M26:U26" si="35">M24/M23</f>
        <v>0.94819466248037676</v>
      </c>
      <c r="N26" s="7">
        <f t="shared" si="35"/>
        <v>0.95291902071563084</v>
      </c>
      <c r="O26" s="7">
        <f t="shared" si="35"/>
        <v>0.93446088794926008</v>
      </c>
      <c r="P26" s="7">
        <f t="shared" si="35"/>
        <v>0.95402298850574707</v>
      </c>
      <c r="Q26" s="7">
        <f t="shared" si="35"/>
        <v>0.94890510948905105</v>
      </c>
      <c r="R26" s="7">
        <f t="shared" si="35"/>
        <v>0.93150684931506844</v>
      </c>
      <c r="S26" s="7">
        <f t="shared" si="35"/>
        <v>0.9502407704654896</v>
      </c>
      <c r="T26" s="7">
        <f t="shared" si="35"/>
        <v>0.37899543378995432</v>
      </c>
      <c r="U26" s="7">
        <f t="shared" si="35"/>
        <v>0.14297061159650518</v>
      </c>
      <c r="X26" s="8" t="s">
        <v>8</v>
      </c>
      <c r="Y26" s="7">
        <f t="shared" ref="Y26:AE26" si="36">Y24/Y23</f>
        <v>0.98809523809523814</v>
      </c>
      <c r="Z26" s="7">
        <f t="shared" si="36"/>
        <v>0.99612903225806448</v>
      </c>
      <c r="AA26" s="7">
        <f t="shared" si="36"/>
        <v>0.97765363128491622</v>
      </c>
      <c r="AB26" s="7">
        <f t="shared" si="36"/>
        <v>0.99008498583569404</v>
      </c>
      <c r="AC26" s="7">
        <f t="shared" si="36"/>
        <v>0.9854368932038835</v>
      </c>
      <c r="AD26" s="7">
        <f t="shared" si="36"/>
        <v>0.98568019093078763</v>
      </c>
      <c r="AE26" s="7">
        <f t="shared" si="36"/>
        <v>0.9915433403805497</v>
      </c>
      <c r="AF26" s="7">
        <f t="shared" ref="AF26:AG26" si="37">AF24/AF23</f>
        <v>0.98031496062992129</v>
      </c>
      <c r="AG26" s="7">
        <f t="shared" si="37"/>
        <v>6.2692071296865395E-2</v>
      </c>
    </row>
    <row r="27" spans="1:34" x14ac:dyDescent="0.25">
      <c r="A27" s="8" t="s">
        <v>9</v>
      </c>
      <c r="B27" s="7">
        <f t="shared" ref="B27:I27" si="38">B25/(B25+B24)</f>
        <v>0.4144144144144144</v>
      </c>
      <c r="C27" s="7">
        <f t="shared" si="38"/>
        <v>0.52127659574468088</v>
      </c>
      <c r="D27" s="7">
        <f t="shared" si="38"/>
        <v>0.35555555555555557</v>
      </c>
      <c r="E27" s="7">
        <f t="shared" si="38"/>
        <v>0.39130434782608697</v>
      </c>
      <c r="F27" s="7">
        <f t="shared" si="38"/>
        <v>0.56521739130434778</v>
      </c>
      <c r="G27" s="7">
        <f t="shared" si="38"/>
        <v>0.40259740259740262</v>
      </c>
      <c r="H27" s="7">
        <f t="shared" si="38"/>
        <v>0.38265306122448978</v>
      </c>
      <c r="I27" s="7">
        <f t="shared" si="38"/>
        <v>0.15686274509803921</v>
      </c>
      <c r="L27" s="8" t="s">
        <v>9</v>
      </c>
      <c r="M27" s="7">
        <f t="shared" ref="M27:U27" si="39">M25/(M25+M24)</f>
        <v>0.40079365079365081</v>
      </c>
      <c r="N27" s="7">
        <f t="shared" si="39"/>
        <v>0.40749414519906324</v>
      </c>
      <c r="O27" s="7">
        <f t="shared" si="39"/>
        <v>0.38181818181818183</v>
      </c>
      <c r="P27" s="7">
        <f t="shared" si="39"/>
        <v>0.36802030456852791</v>
      </c>
      <c r="Q27" s="7">
        <f t="shared" si="39"/>
        <v>0.34673366834170855</v>
      </c>
      <c r="R27" s="7">
        <f t="shared" si="39"/>
        <v>0.30041152263374488</v>
      </c>
      <c r="S27" s="7">
        <f t="shared" si="39"/>
        <v>0.29857819905213268</v>
      </c>
      <c r="T27" s="7">
        <f t="shared" si="39"/>
        <v>0.59446254071661242</v>
      </c>
      <c r="U27" s="7">
        <f t="shared" si="39"/>
        <v>0.53905249679897571</v>
      </c>
      <c r="X27" s="8" t="s">
        <v>9</v>
      </c>
      <c r="Y27" s="7">
        <f t="shared" ref="Y27:AD27" si="40">Y25/(Y25+Y24)</f>
        <v>0.28694158075601373</v>
      </c>
      <c r="Z27" s="7">
        <f t="shared" si="40"/>
        <v>-8.2748948106591863E-2</v>
      </c>
      <c r="AA27" s="7">
        <f t="shared" si="40"/>
        <v>0.31906614785992216</v>
      </c>
      <c r="AB27" s="7">
        <f t="shared" si="40"/>
        <v>0.29889669007021064</v>
      </c>
      <c r="AC27" s="7">
        <f t="shared" si="40"/>
        <v>0.3773006134969325</v>
      </c>
      <c r="AD27" s="7">
        <f t="shared" si="40"/>
        <v>0.28422876949740034</v>
      </c>
      <c r="AE27" s="7">
        <f t="shared" ref="AE27" si="41">AE25/(AE25+AE24)</f>
        <v>0.31432748538011696</v>
      </c>
      <c r="AF27" s="7">
        <f t="shared" ref="AF27:AG27" si="42">AF25/(AF25+AF24)</f>
        <v>0.34473684210526317</v>
      </c>
      <c r="AG27" s="7">
        <f t="shared" si="42"/>
        <v>0.84161490683229812</v>
      </c>
    </row>
    <row r="29" spans="1:34" x14ac:dyDescent="0.25">
      <c r="A29" s="7" t="s">
        <v>29</v>
      </c>
      <c r="B29" s="7">
        <v>6</v>
      </c>
      <c r="C29" s="7">
        <v>0</v>
      </c>
      <c r="D29" s="7">
        <v>2</v>
      </c>
      <c r="E29" s="7">
        <v>7</v>
      </c>
      <c r="F29" s="7">
        <v>3</v>
      </c>
      <c r="G29" s="7">
        <v>1</v>
      </c>
      <c r="H29" s="7">
        <v>4</v>
      </c>
      <c r="I29" s="7">
        <v>8</v>
      </c>
      <c r="J29" s="7">
        <v>5</v>
      </c>
      <c r="N29" s="7" t="s">
        <v>30</v>
      </c>
      <c r="O29" s="7">
        <v>2</v>
      </c>
      <c r="P29" s="7">
        <v>7</v>
      </c>
      <c r="Q29" s="7">
        <v>1</v>
      </c>
      <c r="R29" s="7">
        <v>4</v>
      </c>
      <c r="S29" s="7">
        <v>5</v>
      </c>
      <c r="T29" s="7">
        <v>3</v>
      </c>
      <c r="U29" s="7">
        <v>0</v>
      </c>
      <c r="V29" s="7">
        <v>6</v>
      </c>
    </row>
    <row r="30" spans="1:34" x14ac:dyDescent="0.25">
      <c r="B30" s="7">
        <v>48</v>
      </c>
      <c r="C30" s="7">
        <v>173</v>
      </c>
      <c r="D30" s="7">
        <v>147</v>
      </c>
      <c r="E30" s="7">
        <v>171</v>
      </c>
      <c r="F30" s="7">
        <v>205</v>
      </c>
      <c r="G30" s="7">
        <v>192</v>
      </c>
      <c r="H30" s="7">
        <v>324</v>
      </c>
      <c r="I30" s="7">
        <v>76</v>
      </c>
      <c r="J30" s="9" t="s">
        <v>6</v>
      </c>
      <c r="O30" s="7">
        <v>88</v>
      </c>
      <c r="P30" s="7">
        <v>176</v>
      </c>
      <c r="Q30" s="7">
        <v>235</v>
      </c>
      <c r="R30" s="7">
        <v>193</v>
      </c>
      <c r="S30" s="7">
        <v>265</v>
      </c>
      <c r="T30" s="7">
        <v>5</v>
      </c>
      <c r="U30" s="7">
        <v>39</v>
      </c>
      <c r="V30" s="9" t="s">
        <v>6</v>
      </c>
    </row>
    <row r="31" spans="1:34" x14ac:dyDescent="0.25">
      <c r="A31" s="7" t="s">
        <v>14</v>
      </c>
      <c r="B31" s="7">
        <v>853</v>
      </c>
      <c r="C31" s="7">
        <v>827</v>
      </c>
      <c r="D31" s="7">
        <v>594</v>
      </c>
      <c r="E31" s="7">
        <v>761</v>
      </c>
      <c r="F31" s="7">
        <v>784</v>
      </c>
      <c r="G31" s="7">
        <v>858</v>
      </c>
      <c r="H31" s="7">
        <v>1663</v>
      </c>
      <c r="I31" s="7">
        <v>275</v>
      </c>
      <c r="J31" s="7">
        <v>324</v>
      </c>
      <c r="N31" s="7" t="s">
        <v>14</v>
      </c>
      <c r="O31" s="7">
        <v>850</v>
      </c>
      <c r="P31" s="7">
        <v>933</v>
      </c>
      <c r="Q31" s="7">
        <v>1480</v>
      </c>
      <c r="R31" s="7">
        <v>1031</v>
      </c>
      <c r="S31" s="7">
        <v>529</v>
      </c>
      <c r="T31" s="7">
        <v>1244</v>
      </c>
      <c r="U31" s="7">
        <v>942</v>
      </c>
      <c r="V31" s="7">
        <v>385</v>
      </c>
    </row>
    <row r="32" spans="1:34" x14ac:dyDescent="0.25">
      <c r="A32" s="7" t="s">
        <v>73</v>
      </c>
      <c r="B32" s="7">
        <v>873</v>
      </c>
      <c r="C32" s="7">
        <v>854</v>
      </c>
      <c r="D32" s="7">
        <v>565</v>
      </c>
      <c r="E32" s="7">
        <v>797</v>
      </c>
      <c r="F32" s="7">
        <v>780</v>
      </c>
      <c r="G32" s="7">
        <v>908</v>
      </c>
      <c r="H32" s="7">
        <v>1715</v>
      </c>
      <c r="I32" s="7">
        <v>273</v>
      </c>
      <c r="J32" s="7">
        <v>210</v>
      </c>
      <c r="N32" s="7" t="s">
        <v>73</v>
      </c>
      <c r="O32" s="7">
        <v>833</v>
      </c>
      <c r="P32" s="7">
        <v>956</v>
      </c>
      <c r="Q32" s="7">
        <v>1467</v>
      </c>
      <c r="R32" s="7">
        <v>1102</v>
      </c>
      <c r="S32" s="7">
        <v>575</v>
      </c>
      <c r="T32" s="7">
        <v>1243</v>
      </c>
      <c r="U32" s="7">
        <v>1018</v>
      </c>
      <c r="V32" s="7">
        <v>234</v>
      </c>
    </row>
    <row r="33" spans="1:30" x14ac:dyDescent="0.25">
      <c r="A33" s="8" t="s">
        <v>1</v>
      </c>
      <c r="B33" s="8">
        <v>800</v>
      </c>
      <c r="C33" s="8">
        <v>790</v>
      </c>
      <c r="D33" s="8">
        <v>514</v>
      </c>
      <c r="E33" s="8">
        <v>704</v>
      </c>
      <c r="F33" s="8">
        <v>734</v>
      </c>
      <c r="G33" s="8">
        <v>793</v>
      </c>
      <c r="H33" s="8">
        <v>1602</v>
      </c>
      <c r="I33" s="8">
        <v>243</v>
      </c>
      <c r="J33" s="8">
        <v>112</v>
      </c>
      <c r="K33" s="8">
        <f>SUM(B33:J33)/SUM(B$31:J$31)</f>
        <v>0.90675889897679784</v>
      </c>
      <c r="N33" s="8" t="s">
        <v>1</v>
      </c>
      <c r="O33" s="8">
        <v>765</v>
      </c>
      <c r="P33" s="8">
        <v>893</v>
      </c>
      <c r="Q33" s="8">
        <v>1372</v>
      </c>
      <c r="R33" s="8">
        <v>1002</v>
      </c>
      <c r="S33" s="8">
        <v>498</v>
      </c>
      <c r="T33" s="8">
        <v>1169</v>
      </c>
      <c r="U33" s="8">
        <v>888</v>
      </c>
      <c r="V33" s="8">
        <v>108</v>
      </c>
      <c r="W33" s="8">
        <f>SUM(O33:V33)/SUM(O$31:V$31)</f>
        <v>0.90546388964024882</v>
      </c>
    </row>
    <row r="34" spans="1:30" x14ac:dyDescent="0.25">
      <c r="A34" s="8" t="s">
        <v>2</v>
      </c>
      <c r="B34" s="8">
        <f t="shared" ref="B34:J34" si="43">B32-B33</f>
        <v>73</v>
      </c>
      <c r="C34" s="8">
        <f t="shared" si="43"/>
        <v>64</v>
      </c>
      <c r="D34" s="8">
        <f t="shared" si="43"/>
        <v>51</v>
      </c>
      <c r="E34" s="8">
        <f t="shared" si="43"/>
        <v>93</v>
      </c>
      <c r="F34" s="8">
        <f t="shared" si="43"/>
        <v>46</v>
      </c>
      <c r="G34" s="8">
        <f t="shared" si="43"/>
        <v>115</v>
      </c>
      <c r="H34" s="8">
        <f t="shared" si="43"/>
        <v>113</v>
      </c>
      <c r="I34" s="8">
        <f t="shared" si="43"/>
        <v>30</v>
      </c>
      <c r="J34" s="8">
        <f t="shared" si="43"/>
        <v>98</v>
      </c>
      <c r="K34" s="8">
        <f>SUM(B34:J34)/SUM(B$33:J$34)</f>
        <v>9.7921146953405022E-2</v>
      </c>
      <c r="N34" s="8" t="s">
        <v>2</v>
      </c>
      <c r="O34" s="8">
        <f t="shared" ref="O34:V34" si="44">O32-O33</f>
        <v>68</v>
      </c>
      <c r="P34" s="8">
        <f t="shared" si="44"/>
        <v>63</v>
      </c>
      <c r="Q34" s="8">
        <f t="shared" si="44"/>
        <v>95</v>
      </c>
      <c r="R34" s="8">
        <f t="shared" si="44"/>
        <v>100</v>
      </c>
      <c r="S34" s="8">
        <f t="shared" si="44"/>
        <v>77</v>
      </c>
      <c r="T34" s="8">
        <f t="shared" si="44"/>
        <v>74</v>
      </c>
      <c r="U34" s="8">
        <f t="shared" si="44"/>
        <v>130</v>
      </c>
      <c r="V34" s="8">
        <f t="shared" si="44"/>
        <v>126</v>
      </c>
      <c r="W34" s="8">
        <f>SUM(O34:V34)/SUM(O$33:V$34)</f>
        <v>9.8680667743672595E-2</v>
      </c>
    </row>
    <row r="35" spans="1:30" x14ac:dyDescent="0.25">
      <c r="A35" s="8" t="s">
        <v>8</v>
      </c>
      <c r="B35" s="7">
        <f>B33/B31</f>
        <v>0.93786635404454866</v>
      </c>
      <c r="C35" s="7">
        <f>C33/C31</f>
        <v>0.95525997581620314</v>
      </c>
      <c r="D35" s="7">
        <f t="shared" ref="D35:I35" si="45">D33/D31</f>
        <v>0.86531986531986527</v>
      </c>
      <c r="E35" s="7">
        <f t="shared" si="45"/>
        <v>0.92509855453350853</v>
      </c>
      <c r="F35" s="7">
        <f>F33/F31</f>
        <v>0.93622448979591832</v>
      </c>
      <c r="G35" s="7">
        <f t="shared" si="45"/>
        <v>0.9242424242424242</v>
      </c>
      <c r="H35" s="7">
        <f t="shared" si="45"/>
        <v>0.96331930246542397</v>
      </c>
      <c r="I35" s="7">
        <f t="shared" si="45"/>
        <v>0.88363636363636366</v>
      </c>
      <c r="J35" s="7">
        <f t="shared" ref="J35" si="46">J33/J31</f>
        <v>0.34567901234567899</v>
      </c>
      <c r="N35" s="8" t="s">
        <v>8</v>
      </c>
      <c r="O35" s="7">
        <f>O33/O31</f>
        <v>0.9</v>
      </c>
      <c r="P35" s="7">
        <f t="shared" ref="P35:V35" si="47">P33/P31</f>
        <v>0.95712754555198287</v>
      </c>
      <c r="Q35" s="7">
        <f>Q33/Q31</f>
        <v>0.927027027027027</v>
      </c>
      <c r="R35" s="7">
        <f t="shared" si="47"/>
        <v>0.97187196896217265</v>
      </c>
      <c r="S35" s="7">
        <f t="shared" si="47"/>
        <v>0.94139886578449905</v>
      </c>
      <c r="T35" s="7">
        <f>T33/T31</f>
        <v>0.93971061093247588</v>
      </c>
      <c r="U35" s="7">
        <f t="shared" si="47"/>
        <v>0.9426751592356688</v>
      </c>
      <c r="V35" s="7">
        <f t="shared" si="47"/>
        <v>0.2805194805194805</v>
      </c>
    </row>
    <row r="36" spans="1:30" x14ac:dyDescent="0.25">
      <c r="A36" s="8" t="s">
        <v>9</v>
      </c>
      <c r="B36" s="7">
        <f>B34/(B34+B33)</f>
        <v>8.3619702176403202E-2</v>
      </c>
      <c r="C36" s="7">
        <f>C34/(C34+C33)</f>
        <v>7.4941451990632318E-2</v>
      </c>
      <c r="D36" s="7">
        <f t="shared" ref="D36:I36" si="48">D34/(D34+D33)</f>
        <v>9.0265486725663716E-2</v>
      </c>
      <c r="E36" s="7">
        <f t="shared" si="48"/>
        <v>0.11668757841907151</v>
      </c>
      <c r="F36" s="7">
        <f>F34/(F34+F33)</f>
        <v>5.8974358974358973E-2</v>
      </c>
      <c r="G36" s="7">
        <f t="shared" si="48"/>
        <v>0.12665198237885464</v>
      </c>
      <c r="H36" s="7">
        <f t="shared" si="48"/>
        <v>6.5889212827988333E-2</v>
      </c>
      <c r="I36" s="7">
        <f t="shared" si="48"/>
        <v>0.10989010989010989</v>
      </c>
      <c r="J36" s="7">
        <f t="shared" ref="J36" si="49">J34/(J34+J33)</f>
        <v>0.46666666666666667</v>
      </c>
      <c r="N36" s="8" t="s">
        <v>9</v>
      </c>
      <c r="O36" s="7">
        <f>O34/(O34+O33)</f>
        <v>8.1632653061224483E-2</v>
      </c>
      <c r="P36" s="7">
        <f t="shared" ref="P36:V36" si="50">P34/(P34+P33)</f>
        <v>6.5899581589958164E-2</v>
      </c>
      <c r="Q36" s="7">
        <f>Q34/(Q34+Q33)</f>
        <v>6.4758009543285616E-2</v>
      </c>
      <c r="R36" s="7">
        <f t="shared" si="50"/>
        <v>9.0744101633393831E-2</v>
      </c>
      <c r="S36" s="7">
        <f t="shared" si="50"/>
        <v>0.13391304347826086</v>
      </c>
      <c r="T36" s="7">
        <f>T34/(T34+T33)</f>
        <v>5.9533386967015288E-2</v>
      </c>
      <c r="U36" s="7">
        <f t="shared" si="50"/>
        <v>0.12770137524557956</v>
      </c>
      <c r="V36" s="7">
        <f t="shared" si="50"/>
        <v>0.53846153846153844</v>
      </c>
    </row>
    <row r="37" spans="1:30" x14ac:dyDescent="0.25">
      <c r="A37" s="7" t="s">
        <v>73</v>
      </c>
      <c r="B37" s="7">
        <v>829</v>
      </c>
      <c r="C37" s="7">
        <v>811</v>
      </c>
      <c r="D37" s="7">
        <v>536</v>
      </c>
      <c r="E37" s="7">
        <v>757</v>
      </c>
      <c r="F37" s="7">
        <v>741</v>
      </c>
      <c r="G37" s="7">
        <v>862</v>
      </c>
      <c r="H37" s="7">
        <v>1629</v>
      </c>
      <c r="I37" s="7">
        <v>259</v>
      </c>
      <c r="J37" s="7">
        <v>551</v>
      </c>
      <c r="N37" s="7" t="s">
        <v>73</v>
      </c>
      <c r="O37" s="7">
        <v>791</v>
      </c>
      <c r="P37" s="7">
        <v>908</v>
      </c>
      <c r="Q37" s="7">
        <v>1393</v>
      </c>
      <c r="R37" s="7">
        <v>1046</v>
      </c>
      <c r="S37" s="7">
        <v>546</v>
      </c>
      <c r="T37" s="7">
        <v>1180</v>
      </c>
      <c r="U37" s="7">
        <v>967</v>
      </c>
      <c r="V37" s="7">
        <v>597</v>
      </c>
    </row>
    <row r="38" spans="1:30" x14ac:dyDescent="0.25">
      <c r="A38" s="8" t="s">
        <v>1</v>
      </c>
      <c r="B38" s="8">
        <v>759</v>
      </c>
      <c r="C38" s="8">
        <v>755</v>
      </c>
      <c r="D38" s="8">
        <v>494</v>
      </c>
      <c r="E38" s="8">
        <v>677</v>
      </c>
      <c r="F38" s="8">
        <v>698</v>
      </c>
      <c r="G38" s="8">
        <v>754</v>
      </c>
      <c r="H38" s="8">
        <v>1522</v>
      </c>
      <c r="I38" s="8">
        <v>232</v>
      </c>
      <c r="J38" s="8">
        <v>151</v>
      </c>
      <c r="K38" s="8">
        <f>SUM(B38:J38)/SUM(B$31:J$31)</f>
        <v>0.87073065283182016</v>
      </c>
      <c r="N38" s="8" t="s">
        <v>1</v>
      </c>
      <c r="O38" s="8">
        <v>726</v>
      </c>
      <c r="P38" s="8">
        <v>858</v>
      </c>
      <c r="Q38" s="8">
        <v>1302</v>
      </c>
      <c r="R38" s="8">
        <v>959</v>
      </c>
      <c r="S38" s="8">
        <v>482</v>
      </c>
      <c r="T38" s="8">
        <v>1115</v>
      </c>
      <c r="U38" s="8">
        <v>853</v>
      </c>
      <c r="V38" s="8">
        <v>157</v>
      </c>
      <c r="W38" s="8">
        <f>SUM(O38:V38)/SUM(O$31:V$31)</f>
        <v>0.87259940492291044</v>
      </c>
    </row>
    <row r="39" spans="1:30" x14ac:dyDescent="0.25">
      <c r="A39" s="8" t="s">
        <v>2</v>
      </c>
      <c r="B39" s="8">
        <f t="shared" ref="B39:J39" si="51">B37-B38</f>
        <v>70</v>
      </c>
      <c r="C39" s="8">
        <f t="shared" si="51"/>
        <v>56</v>
      </c>
      <c r="D39" s="8">
        <f t="shared" si="51"/>
        <v>42</v>
      </c>
      <c r="E39" s="8">
        <f t="shared" si="51"/>
        <v>80</v>
      </c>
      <c r="F39" s="8">
        <f t="shared" si="51"/>
        <v>43</v>
      </c>
      <c r="G39" s="8">
        <f t="shared" si="51"/>
        <v>108</v>
      </c>
      <c r="H39" s="8">
        <f t="shared" si="51"/>
        <v>107</v>
      </c>
      <c r="I39" s="8">
        <f t="shared" si="51"/>
        <v>27</v>
      </c>
      <c r="J39" s="8">
        <f t="shared" si="51"/>
        <v>400</v>
      </c>
      <c r="K39" s="8">
        <f>SUM(B39:J39)/SUM(B$38:J$39)</f>
        <v>0.13376344086021505</v>
      </c>
      <c r="N39" s="8" t="s">
        <v>2</v>
      </c>
      <c r="O39" s="8">
        <f t="shared" ref="O39" si="52">O37-O38</f>
        <v>65</v>
      </c>
      <c r="P39" s="8">
        <f t="shared" ref="P39" si="53">P37-P38</f>
        <v>50</v>
      </c>
      <c r="Q39" s="8">
        <f t="shared" ref="Q39" si="54">Q37-Q38</f>
        <v>91</v>
      </c>
      <c r="R39" s="8">
        <f t="shared" ref="R39" si="55">R37-R38</f>
        <v>87</v>
      </c>
      <c r="S39" s="8">
        <f t="shared" ref="S39" si="56">S37-S38</f>
        <v>64</v>
      </c>
      <c r="T39" s="8">
        <f t="shared" ref="T39" si="57">T37-T38</f>
        <v>65</v>
      </c>
      <c r="U39" s="8">
        <f t="shared" ref="U39" si="58">U37-U38</f>
        <v>114</v>
      </c>
      <c r="V39" s="8">
        <f t="shared" ref="V39" si="59">V37-V38</f>
        <v>440</v>
      </c>
      <c r="W39" s="8">
        <f>SUM(O39:V39)/SUM(O$38:V$39)</f>
        <v>0.13139472267097468</v>
      </c>
    </row>
    <row r="40" spans="1:30" x14ac:dyDescent="0.25">
      <c r="A40" s="8" t="s">
        <v>8</v>
      </c>
      <c r="B40" s="7">
        <f t="shared" ref="B40:J40" si="60">B38/B31</f>
        <v>0.88980070339976558</v>
      </c>
      <c r="C40" s="7">
        <f t="shared" si="60"/>
        <v>0.91293833131801694</v>
      </c>
      <c r="D40" s="7">
        <f t="shared" si="60"/>
        <v>0.83164983164983164</v>
      </c>
      <c r="E40" s="7">
        <f t="shared" si="60"/>
        <v>0.88961892247043362</v>
      </c>
      <c r="F40" s="7">
        <f t="shared" si="60"/>
        <v>0.89030612244897955</v>
      </c>
      <c r="G40" s="7">
        <f t="shared" si="60"/>
        <v>0.87878787878787878</v>
      </c>
      <c r="H40" s="7">
        <f t="shared" si="60"/>
        <v>0.91521346963319306</v>
      </c>
      <c r="I40" s="7">
        <f t="shared" si="60"/>
        <v>0.84363636363636363</v>
      </c>
      <c r="J40" s="7">
        <f t="shared" si="60"/>
        <v>0.4660493827160494</v>
      </c>
      <c r="N40" s="8" t="s">
        <v>8</v>
      </c>
      <c r="O40" s="7">
        <f t="shared" ref="O40:V40" si="61">O38/O31</f>
        <v>0.85411764705882354</v>
      </c>
      <c r="P40" s="7">
        <f t="shared" si="61"/>
        <v>0.91961414790996787</v>
      </c>
      <c r="Q40" s="7">
        <f t="shared" si="61"/>
        <v>0.87972972972972974</v>
      </c>
      <c r="R40" s="7">
        <f t="shared" si="61"/>
        <v>0.93016488845780798</v>
      </c>
      <c r="S40" s="7">
        <f t="shared" si="61"/>
        <v>0.91115311909262764</v>
      </c>
      <c r="T40" s="7">
        <f t="shared" si="61"/>
        <v>0.8963022508038585</v>
      </c>
      <c r="U40" s="7">
        <f t="shared" si="61"/>
        <v>0.90552016985138006</v>
      </c>
      <c r="V40" s="7">
        <f t="shared" si="61"/>
        <v>0.40779220779220782</v>
      </c>
    </row>
    <row r="41" spans="1:30" x14ac:dyDescent="0.25">
      <c r="A41" s="8" t="s">
        <v>9</v>
      </c>
      <c r="B41" s="7">
        <f>B39/(B39+B38)</f>
        <v>8.4439083232810616E-2</v>
      </c>
      <c r="C41" s="7">
        <f>C39/(C39+C38)</f>
        <v>6.9050554870530204E-2</v>
      </c>
      <c r="D41" s="7">
        <f t="shared" ref="D41:J41" si="62">D39/(D39+D38)</f>
        <v>7.8358208955223885E-2</v>
      </c>
      <c r="E41" s="7">
        <f t="shared" si="62"/>
        <v>0.10568031704095113</v>
      </c>
      <c r="F41" s="7">
        <f>F39/(F39+F38)</f>
        <v>5.8029689608636977E-2</v>
      </c>
      <c r="G41" s="7">
        <f t="shared" si="62"/>
        <v>0.12529002320185614</v>
      </c>
      <c r="H41" s="7">
        <f t="shared" si="62"/>
        <v>6.5684468999386125E-2</v>
      </c>
      <c r="I41" s="7">
        <f t="shared" si="62"/>
        <v>0.10424710424710425</v>
      </c>
      <c r="J41" s="7">
        <f t="shared" si="62"/>
        <v>0.72595281306715065</v>
      </c>
      <c r="N41" s="8" t="s">
        <v>9</v>
      </c>
      <c r="O41" s="7">
        <f t="shared" ref="O41:V41" si="63">O39/(O39+O38)</f>
        <v>8.2174462705436158E-2</v>
      </c>
      <c r="P41" s="7">
        <f t="shared" si="63"/>
        <v>5.5066079295154183E-2</v>
      </c>
      <c r="Q41" s="7">
        <f t="shared" si="63"/>
        <v>6.5326633165829151E-2</v>
      </c>
      <c r="R41" s="7">
        <f t="shared" si="63"/>
        <v>8.3173996175908219E-2</v>
      </c>
      <c r="S41" s="7">
        <f t="shared" si="63"/>
        <v>0.11721611721611722</v>
      </c>
      <c r="T41" s="7">
        <f t="shared" si="63"/>
        <v>5.5084745762711863E-2</v>
      </c>
      <c r="U41" s="7">
        <f t="shared" si="63"/>
        <v>0.11789038262668046</v>
      </c>
      <c r="V41" s="7">
        <f t="shared" si="63"/>
        <v>0.73701842546063656</v>
      </c>
    </row>
    <row r="42" spans="1:30" x14ac:dyDescent="0.25">
      <c r="A42" s="8" t="s">
        <v>13</v>
      </c>
      <c r="B42" s="7">
        <v>538</v>
      </c>
      <c r="C42" s="7">
        <v>613</v>
      </c>
      <c r="D42" s="7">
        <v>390</v>
      </c>
      <c r="E42" s="7">
        <v>510</v>
      </c>
      <c r="F42" s="7">
        <v>518</v>
      </c>
      <c r="G42" s="7">
        <v>565</v>
      </c>
      <c r="H42" s="7">
        <v>1150</v>
      </c>
      <c r="I42" s="7">
        <v>179</v>
      </c>
      <c r="J42" s="7">
        <v>2214</v>
      </c>
      <c r="N42" s="8" t="s">
        <v>13</v>
      </c>
      <c r="O42" s="7">
        <v>420</v>
      </c>
      <c r="P42" s="7">
        <v>524</v>
      </c>
      <c r="Q42" s="7">
        <v>793</v>
      </c>
      <c r="R42" s="7">
        <v>531</v>
      </c>
      <c r="S42" s="7">
        <v>284</v>
      </c>
      <c r="T42" s="7">
        <v>380</v>
      </c>
      <c r="U42" s="7">
        <v>585</v>
      </c>
      <c r="V42" s="7">
        <v>3854</v>
      </c>
    </row>
    <row r="43" spans="1:30" x14ac:dyDescent="0.25">
      <c r="A43" s="8" t="s">
        <v>1</v>
      </c>
      <c r="B43" s="7">
        <v>513</v>
      </c>
      <c r="C43" s="7">
        <v>593</v>
      </c>
      <c r="D43" s="7">
        <v>363</v>
      </c>
      <c r="E43" s="7">
        <v>494</v>
      </c>
      <c r="F43" s="7">
        <v>489</v>
      </c>
      <c r="G43" s="7">
        <v>534</v>
      </c>
      <c r="H43" s="7">
        <v>694</v>
      </c>
      <c r="I43" s="7">
        <v>170</v>
      </c>
      <c r="J43" s="7">
        <v>429</v>
      </c>
      <c r="K43" s="8">
        <f>SUM(B43:J43)/SUM(B$31:J$31)</f>
        <v>0.61665946101743763</v>
      </c>
      <c r="N43" s="8" t="s">
        <v>1</v>
      </c>
      <c r="O43" s="7">
        <v>400</v>
      </c>
      <c r="P43" s="7">
        <v>508</v>
      </c>
      <c r="Q43" s="7">
        <v>378</v>
      </c>
      <c r="R43" s="7">
        <v>511</v>
      </c>
      <c r="S43" s="7">
        <v>273</v>
      </c>
      <c r="T43" s="7">
        <v>365</v>
      </c>
      <c r="U43" s="7">
        <v>562</v>
      </c>
      <c r="V43" s="7">
        <v>599</v>
      </c>
      <c r="W43" s="8">
        <f>SUM(N43:V43)/SUM(N$42:V$42)</f>
        <v>0.48785782119115451</v>
      </c>
    </row>
    <row r="44" spans="1:30" x14ac:dyDescent="0.25">
      <c r="A44" s="8" t="s">
        <v>2</v>
      </c>
      <c r="B44" s="8">
        <f>859-B43</f>
        <v>346</v>
      </c>
      <c r="C44" s="8">
        <f>824-C43</f>
        <v>231</v>
      </c>
      <c r="D44" s="8">
        <f>546-D43</f>
        <v>183</v>
      </c>
      <c r="E44" s="8">
        <f>761-E43</f>
        <v>267</v>
      </c>
      <c r="F44" s="8">
        <f>756-F43</f>
        <v>267</v>
      </c>
      <c r="G44" s="8">
        <f>879-G43</f>
        <v>345</v>
      </c>
      <c r="H44" s="8">
        <f>1078-H43</f>
        <v>384</v>
      </c>
      <c r="I44" s="8">
        <f>257-I43</f>
        <v>87</v>
      </c>
      <c r="J44" s="8">
        <f>971-J43</f>
        <v>542</v>
      </c>
      <c r="K44" s="8">
        <f>SUM(B44:J44)/SUM(B$33:J$34)</f>
        <v>0.38021505376344084</v>
      </c>
      <c r="N44" s="8" t="s">
        <v>2</v>
      </c>
      <c r="O44" s="8">
        <f>810-O43</f>
        <v>410</v>
      </c>
      <c r="P44" s="8">
        <f>938-P43</f>
        <v>430</v>
      </c>
      <c r="Q44" s="8">
        <f>763-Q43</f>
        <v>385</v>
      </c>
      <c r="R44" s="8">
        <f>1049-R43</f>
        <v>538</v>
      </c>
      <c r="S44" s="8">
        <f>545-S43</f>
        <v>272</v>
      </c>
      <c r="T44" s="8">
        <f>1251-T43</f>
        <v>886</v>
      </c>
      <c r="U44" s="8">
        <f>977-U43</f>
        <v>415</v>
      </c>
      <c r="V44" s="8">
        <f>1086-V43</f>
        <v>487</v>
      </c>
      <c r="W44" s="8">
        <f>SUM(O44:V44)/SUM(O$43:V$44)</f>
        <v>0.51529855775711009</v>
      </c>
    </row>
    <row r="45" spans="1:30" x14ac:dyDescent="0.25">
      <c r="A45" s="8" t="s">
        <v>8</v>
      </c>
      <c r="B45" s="7">
        <f>B43/B42</f>
        <v>0.95353159851301117</v>
      </c>
      <c r="C45" s="7">
        <f>C43/C42</f>
        <v>0.96737357259380097</v>
      </c>
      <c r="D45" s="7">
        <f t="shared" ref="D45" si="64">D43/D42</f>
        <v>0.93076923076923079</v>
      </c>
      <c r="E45" s="7">
        <f t="shared" ref="E45:J45" si="65">E43/E42</f>
        <v>0.96862745098039216</v>
      </c>
      <c r="F45" s="7">
        <f>F43/F42</f>
        <v>0.94401544401544402</v>
      </c>
      <c r="G45" s="7">
        <f t="shared" si="65"/>
        <v>0.94513274336283182</v>
      </c>
      <c r="H45" s="7">
        <f t="shared" si="65"/>
        <v>0.60347826086956524</v>
      </c>
      <c r="I45" s="7">
        <f t="shared" si="65"/>
        <v>0.94972067039106145</v>
      </c>
      <c r="J45" s="7">
        <f t="shared" si="65"/>
        <v>0.19376693766937669</v>
      </c>
      <c r="N45" s="8" t="s">
        <v>8</v>
      </c>
      <c r="O45" s="7">
        <f>O43/O42</f>
        <v>0.95238095238095233</v>
      </c>
      <c r="P45" s="7">
        <f t="shared" ref="P45:V45" si="66">P43/P42</f>
        <v>0.96946564885496178</v>
      </c>
      <c r="Q45" s="7">
        <f>Q43/Q42</f>
        <v>0.47667087011349307</v>
      </c>
      <c r="R45" s="7">
        <f t="shared" si="66"/>
        <v>0.96233521657250476</v>
      </c>
      <c r="S45" s="7">
        <f t="shared" si="66"/>
        <v>0.96126760563380287</v>
      </c>
      <c r="T45" s="7">
        <f>T43/T42</f>
        <v>0.96052631578947367</v>
      </c>
      <c r="U45" s="7">
        <f t="shared" si="66"/>
        <v>0.96068376068376071</v>
      </c>
      <c r="V45" s="7">
        <f t="shared" si="66"/>
        <v>0.1554229372080955</v>
      </c>
    </row>
    <row r="46" spans="1:30" x14ac:dyDescent="0.25">
      <c r="A46" s="8" t="s">
        <v>9</v>
      </c>
      <c r="B46" s="7">
        <f>B44/(B44+B43)</f>
        <v>0.40279394644935973</v>
      </c>
      <c r="C46" s="7">
        <f>C44/(C44+C43)</f>
        <v>0.2803398058252427</v>
      </c>
      <c r="D46" s="7">
        <f t="shared" ref="D46" si="67">D44/(D44+D43)</f>
        <v>0.33516483516483514</v>
      </c>
      <c r="E46" s="7">
        <f t="shared" ref="E46:J46" si="68">E44/(E44+E43)</f>
        <v>0.35085413929040737</v>
      </c>
      <c r="F46" s="7">
        <f>F44/(F44+F43)</f>
        <v>0.3531746031746032</v>
      </c>
      <c r="G46" s="7">
        <f t="shared" si="68"/>
        <v>0.39249146757679182</v>
      </c>
      <c r="H46" s="7">
        <f t="shared" si="68"/>
        <v>0.35621521335807049</v>
      </c>
      <c r="I46" s="7">
        <f t="shared" si="68"/>
        <v>0.33852140077821014</v>
      </c>
      <c r="J46" s="7">
        <f t="shared" si="68"/>
        <v>0.5581874356333677</v>
      </c>
      <c r="N46" s="8" t="s">
        <v>9</v>
      </c>
      <c r="O46" s="7">
        <f>O44/(O44+O43)</f>
        <v>0.50617283950617287</v>
      </c>
      <c r="P46" s="7">
        <f t="shared" ref="P46:V46" si="69">P44/(P44+P43)</f>
        <v>0.45842217484008529</v>
      </c>
      <c r="Q46" s="7">
        <f>Q44/(Q44+Q43)</f>
        <v>0.50458715596330272</v>
      </c>
      <c r="R46" s="7">
        <f t="shared" si="69"/>
        <v>0.51286939942802667</v>
      </c>
      <c r="S46" s="7">
        <f t="shared" si="69"/>
        <v>0.49908256880733948</v>
      </c>
      <c r="T46" s="7">
        <f>T44/(T44+T43)</f>
        <v>0.70823341326938449</v>
      </c>
      <c r="U46" s="7">
        <f t="shared" si="69"/>
        <v>0.42476970317297852</v>
      </c>
      <c r="V46" s="7">
        <f t="shared" si="69"/>
        <v>0.44843462246777166</v>
      </c>
    </row>
    <row r="47" spans="1:30" x14ac:dyDescent="0.25">
      <c r="A47" s="8"/>
      <c r="M47" s="8"/>
      <c r="Y47" s="8"/>
    </row>
    <row r="48" spans="1:30" x14ac:dyDescent="0.25">
      <c r="V48" s="7">
        <v>1</v>
      </c>
      <c r="W48" s="7">
        <v>7</v>
      </c>
      <c r="X48" s="7">
        <v>6</v>
      </c>
      <c r="Y48" s="7">
        <v>4</v>
      </c>
      <c r="Z48" s="7">
        <v>3</v>
      </c>
      <c r="AA48" s="7">
        <v>2</v>
      </c>
      <c r="AB48" s="7">
        <v>5</v>
      </c>
      <c r="AC48" s="7">
        <v>8</v>
      </c>
      <c r="AD48" s="7">
        <v>0</v>
      </c>
    </row>
    <row r="49" spans="1:33" x14ac:dyDescent="0.25">
      <c r="A49" s="7" t="s">
        <v>32</v>
      </c>
      <c r="B49" s="7">
        <v>1</v>
      </c>
      <c r="C49" s="7">
        <v>3</v>
      </c>
      <c r="D49" s="7">
        <v>2</v>
      </c>
      <c r="E49" s="7">
        <v>0</v>
      </c>
      <c r="L49" s="7" t="s">
        <v>33</v>
      </c>
      <c r="U49" s="7" t="s">
        <v>50</v>
      </c>
      <c r="V49" s="7">
        <v>2</v>
      </c>
      <c r="W49" s="7">
        <v>0</v>
      </c>
      <c r="X49" s="7">
        <v>6</v>
      </c>
      <c r="Y49" s="7">
        <v>5</v>
      </c>
      <c r="Z49" s="7">
        <v>7</v>
      </c>
      <c r="AA49" s="7">
        <v>3</v>
      </c>
      <c r="AB49" s="7">
        <v>4</v>
      </c>
      <c r="AC49" s="7">
        <v>8</v>
      </c>
      <c r="AD49" s="7">
        <v>1</v>
      </c>
    </row>
    <row r="50" spans="1:33" x14ac:dyDescent="0.25">
      <c r="B50" s="7">
        <v>1159</v>
      </c>
      <c r="C50" s="7">
        <v>1276</v>
      </c>
      <c r="D50" s="7">
        <v>1369</v>
      </c>
      <c r="E50" s="10" t="s">
        <v>6</v>
      </c>
      <c r="I50" s="9"/>
      <c r="M50" s="7">
        <v>1</v>
      </c>
      <c r="N50" s="7">
        <v>2</v>
      </c>
      <c r="O50" s="7">
        <v>3</v>
      </c>
      <c r="P50" s="10" t="s">
        <v>6</v>
      </c>
      <c r="V50" s="7">
        <v>1043</v>
      </c>
      <c r="W50" s="7">
        <v>1249</v>
      </c>
      <c r="X50" s="7">
        <v>1511</v>
      </c>
      <c r="Y50" s="7">
        <v>1493</v>
      </c>
      <c r="Z50" s="7">
        <v>1598</v>
      </c>
      <c r="AA50" s="7">
        <v>1085</v>
      </c>
      <c r="AB50" s="7">
        <v>1079</v>
      </c>
      <c r="AC50" s="7">
        <v>1154</v>
      </c>
      <c r="AD50" s="10" t="s">
        <v>6</v>
      </c>
      <c r="AG50" s="7" t="s">
        <v>99</v>
      </c>
    </row>
    <row r="51" spans="1:33" x14ac:dyDescent="0.25">
      <c r="A51" s="7" t="s">
        <v>0</v>
      </c>
      <c r="B51" s="7">
        <v>3159</v>
      </c>
      <c r="C51" s="7">
        <v>3442</v>
      </c>
      <c r="D51" s="7">
        <v>2466</v>
      </c>
      <c r="E51" s="7">
        <v>500</v>
      </c>
      <c r="L51" s="7" t="s">
        <v>12</v>
      </c>
      <c r="M51" s="7">
        <v>609</v>
      </c>
      <c r="N51" s="7">
        <v>2833</v>
      </c>
      <c r="O51" s="7">
        <v>2353</v>
      </c>
      <c r="P51" s="7">
        <v>3470</v>
      </c>
      <c r="U51" s="7" t="s">
        <v>51</v>
      </c>
      <c r="V51" s="7">
        <v>774</v>
      </c>
      <c r="W51" s="7">
        <v>650</v>
      </c>
      <c r="X51" s="7">
        <v>844</v>
      </c>
      <c r="Y51" s="7">
        <v>620</v>
      </c>
      <c r="Z51" s="7">
        <v>652</v>
      </c>
      <c r="AA51" s="7">
        <v>765</v>
      </c>
      <c r="AB51" s="7">
        <v>732</v>
      </c>
      <c r="AC51" s="7">
        <v>758</v>
      </c>
      <c r="AD51" s="7">
        <v>313</v>
      </c>
    </row>
    <row r="52" spans="1:33" x14ac:dyDescent="0.25">
      <c r="A52" s="7" t="s">
        <v>73</v>
      </c>
      <c r="B52" s="7">
        <v>3043</v>
      </c>
      <c r="C52" s="7">
        <v>3322</v>
      </c>
      <c r="D52" s="7">
        <v>2376</v>
      </c>
      <c r="E52" s="7">
        <v>337</v>
      </c>
      <c r="L52" s="7" t="s">
        <v>73</v>
      </c>
      <c r="M52" s="7">
        <v>3043</v>
      </c>
      <c r="N52" s="7">
        <v>3322</v>
      </c>
      <c r="O52" s="7">
        <v>2376</v>
      </c>
      <c r="P52" s="7">
        <v>337</v>
      </c>
      <c r="U52" s="7" t="s">
        <v>73</v>
      </c>
      <c r="V52" s="7">
        <v>741</v>
      </c>
      <c r="W52" s="7">
        <v>514</v>
      </c>
      <c r="X52" s="7">
        <v>998</v>
      </c>
      <c r="Y52" s="7">
        <v>673</v>
      </c>
      <c r="Z52" s="7">
        <v>648</v>
      </c>
      <c r="AA52" s="7">
        <v>762</v>
      </c>
      <c r="AB52" s="7">
        <v>902</v>
      </c>
      <c r="AC52" s="7">
        <v>476</v>
      </c>
      <c r="AD52" s="7">
        <v>428</v>
      </c>
    </row>
    <row r="53" spans="1:33" x14ac:dyDescent="0.25">
      <c r="A53" s="8" t="s">
        <v>1</v>
      </c>
      <c r="B53" s="8">
        <v>2989</v>
      </c>
      <c r="C53" s="8">
        <v>3235</v>
      </c>
      <c r="D53" s="8">
        <v>2341</v>
      </c>
      <c r="E53" s="8">
        <v>324</v>
      </c>
      <c r="F53" s="8">
        <f>(B53+C53+D53+E53)/(B$51+C$51+D$51+E$51)</f>
        <v>0.92913138915020388</v>
      </c>
      <c r="G53" s="8"/>
      <c r="H53" s="8"/>
      <c r="J53" s="8"/>
      <c r="L53" s="8" t="s">
        <v>1</v>
      </c>
      <c r="M53" s="8">
        <v>609</v>
      </c>
      <c r="N53" s="8">
        <v>2833</v>
      </c>
      <c r="O53" s="8">
        <v>2352</v>
      </c>
      <c r="P53" s="8">
        <v>337</v>
      </c>
      <c r="Q53" s="8">
        <f>(M53+N53+O53+P53)/(M$51+N$51+O$51+P$51)</f>
        <v>0.66173772261198061</v>
      </c>
      <c r="U53" s="8" t="s">
        <v>1</v>
      </c>
      <c r="V53" s="8">
        <v>592</v>
      </c>
      <c r="W53" s="8">
        <v>145</v>
      </c>
      <c r="X53" s="8">
        <v>552</v>
      </c>
      <c r="Y53" s="8">
        <v>294</v>
      </c>
      <c r="Z53" s="8">
        <v>350</v>
      </c>
      <c r="AA53" s="8">
        <v>430</v>
      </c>
      <c r="AB53" s="8">
        <v>458</v>
      </c>
      <c r="AC53" s="8">
        <v>330</v>
      </c>
      <c r="AD53" s="8">
        <v>32</v>
      </c>
      <c r="AE53" s="8">
        <f>SUM(V53:AD53)/SUM(V$51:AD$51)</f>
        <v>0.52111984282907664</v>
      </c>
    </row>
    <row r="54" spans="1:33" x14ac:dyDescent="0.25">
      <c r="A54" s="8" t="s">
        <v>2</v>
      </c>
      <c r="B54" s="8">
        <f t="shared" ref="B54" si="70">B52-B53</f>
        <v>54</v>
      </c>
      <c r="C54" s="8">
        <f t="shared" ref="C54" si="71">C52-C53</f>
        <v>87</v>
      </c>
      <c r="D54" s="8">
        <f t="shared" ref="D54" si="72">D52-D53</f>
        <v>35</v>
      </c>
      <c r="E54" s="8">
        <f t="shared" ref="E54" si="73">E52-E53</f>
        <v>13</v>
      </c>
      <c r="F54" s="8">
        <f>(B54+C54+D54+E54)/(B$53+C$53+D$53+E$53)</f>
        <v>2.1262234222072223E-2</v>
      </c>
      <c r="G54" s="8"/>
      <c r="H54" s="8"/>
      <c r="J54" s="8"/>
      <c r="L54" s="8" t="s">
        <v>2</v>
      </c>
      <c r="M54" s="8">
        <f t="shared" ref="M54" si="74">M52-M53</f>
        <v>2434</v>
      </c>
      <c r="N54" s="8">
        <f t="shared" ref="N54" si="75">N52-N53</f>
        <v>489</v>
      </c>
      <c r="O54" s="8">
        <f t="shared" ref="O54" si="76">O52-O53</f>
        <v>24</v>
      </c>
      <c r="P54" s="8">
        <f t="shared" ref="P54" si="77">P52-P53</f>
        <v>0</v>
      </c>
      <c r="Q54" s="8">
        <f>(M54+N54+O54+P54)/(M$53+N$53+O$53+P$53)</f>
        <v>0.48067199478062306</v>
      </c>
      <c r="U54" s="8" t="s">
        <v>2</v>
      </c>
      <c r="V54" s="8">
        <f>V52-V53</f>
        <v>149</v>
      </c>
      <c r="W54" s="8">
        <f t="shared" ref="W54:AD54" si="78">W52-W53</f>
        <v>369</v>
      </c>
      <c r="X54" s="8">
        <f t="shared" si="78"/>
        <v>446</v>
      </c>
      <c r="Y54" s="8">
        <f t="shared" si="78"/>
        <v>379</v>
      </c>
      <c r="Z54" s="8">
        <f t="shared" si="78"/>
        <v>298</v>
      </c>
      <c r="AA54" s="8">
        <f t="shared" si="78"/>
        <v>332</v>
      </c>
      <c r="AB54" s="8">
        <f t="shared" si="78"/>
        <v>444</v>
      </c>
      <c r="AC54" s="8">
        <f t="shared" si="78"/>
        <v>146</v>
      </c>
      <c r="AD54" s="8">
        <f t="shared" si="78"/>
        <v>396</v>
      </c>
      <c r="AE54" s="8">
        <f>SUM(V54:AD54)/SUM(V53:AD54)</f>
        <v>0.48176489742754802</v>
      </c>
    </row>
    <row r="55" spans="1:33" x14ac:dyDescent="0.25">
      <c r="A55" s="8" t="s">
        <v>8</v>
      </c>
      <c r="B55" s="7">
        <f>B53/B51</f>
        <v>0.94618550174105731</v>
      </c>
      <c r="C55" s="7">
        <f>C53/C51</f>
        <v>0.93986054619407322</v>
      </c>
      <c r="D55" s="7">
        <f>D53/D51</f>
        <v>0.94931062449310621</v>
      </c>
      <c r="E55" s="7">
        <f>E53/E51</f>
        <v>0.64800000000000002</v>
      </c>
      <c r="F55" s="8"/>
      <c r="G55" s="8"/>
      <c r="H55" s="8"/>
      <c r="I55" s="8"/>
      <c r="L55" s="8" t="s">
        <v>8</v>
      </c>
      <c r="M55" s="7">
        <f>M53/M51</f>
        <v>1</v>
      </c>
      <c r="N55" s="7">
        <f>N53/N51</f>
        <v>1</v>
      </c>
      <c r="O55" s="7">
        <f>O53/O51</f>
        <v>0.99957501062473442</v>
      </c>
      <c r="P55" s="7">
        <f>P53/P51</f>
        <v>9.7118155619596538E-2</v>
      </c>
      <c r="Q55" s="8"/>
      <c r="U55" s="7" t="s">
        <v>101</v>
      </c>
      <c r="V55" s="8">
        <v>21</v>
      </c>
      <c r="W55" s="8">
        <v>35</v>
      </c>
      <c r="X55" s="8">
        <v>57</v>
      </c>
      <c r="Y55" s="8">
        <v>40</v>
      </c>
      <c r="Z55" s="8">
        <v>23</v>
      </c>
      <c r="AA55" s="8">
        <v>33</v>
      </c>
      <c r="AB55" s="8">
        <v>55</v>
      </c>
      <c r="AC55" s="8">
        <v>17</v>
      </c>
      <c r="AD55" s="8"/>
      <c r="AE55" s="8"/>
    </row>
    <row r="56" spans="1:33" x14ac:dyDescent="0.25">
      <c r="A56" s="8" t="s">
        <v>9</v>
      </c>
      <c r="B56" s="7">
        <f>B54/(B54+B53)</f>
        <v>1.7745645744331254E-2</v>
      </c>
      <c r="C56" s="7">
        <f>C54/(C54+C53)</f>
        <v>2.6189042745334137E-2</v>
      </c>
      <c r="D56" s="7">
        <f>D54/(D54+D53)</f>
        <v>1.4730639730639731E-2</v>
      </c>
      <c r="E56" s="7">
        <f>E54/(E54+E53)</f>
        <v>3.857566765578635E-2</v>
      </c>
      <c r="L56" s="8" t="s">
        <v>9</v>
      </c>
      <c r="M56" s="7">
        <f>M54/(M54+M53)</f>
        <v>0.79986855077226426</v>
      </c>
      <c r="N56" s="7">
        <f>N54/(N54+N53)</f>
        <v>0.14720048163756774</v>
      </c>
      <c r="O56" s="7">
        <f>O54/(O54+O53)</f>
        <v>1.0101010101010102E-2</v>
      </c>
      <c r="P56" s="7">
        <f>P54/(P54+P53)</f>
        <v>0</v>
      </c>
      <c r="U56" s="8" t="s">
        <v>8</v>
      </c>
      <c r="V56" s="7">
        <f t="shared" ref="V56:AD56" si="79">V53/V51</f>
        <v>0.76485788113695086</v>
      </c>
      <c r="W56" s="7">
        <f t="shared" si="79"/>
        <v>0.22307692307692309</v>
      </c>
      <c r="X56" s="7">
        <f t="shared" si="79"/>
        <v>0.65402843601895733</v>
      </c>
      <c r="Y56" s="7">
        <f t="shared" si="79"/>
        <v>0.47419354838709676</v>
      </c>
      <c r="Z56" s="7">
        <f t="shared" si="79"/>
        <v>0.53680981595092025</v>
      </c>
      <c r="AA56" s="7">
        <f t="shared" si="79"/>
        <v>0.56209150326797386</v>
      </c>
      <c r="AB56" s="7">
        <f t="shared" si="79"/>
        <v>0.62568306010928965</v>
      </c>
      <c r="AC56" s="7">
        <f t="shared" si="79"/>
        <v>0.43535620052770446</v>
      </c>
      <c r="AD56" s="7">
        <f t="shared" si="79"/>
        <v>0.10223642172523961</v>
      </c>
    </row>
    <row r="57" spans="1:33" x14ac:dyDescent="0.25">
      <c r="A57" s="7" t="s">
        <v>73</v>
      </c>
      <c r="B57" s="7">
        <v>2890</v>
      </c>
      <c r="C57" s="7">
        <v>3155</v>
      </c>
      <c r="D57" s="7">
        <v>2257</v>
      </c>
      <c r="E57" s="7">
        <v>776</v>
      </c>
      <c r="L57" s="7" t="s">
        <v>73</v>
      </c>
      <c r="M57" s="7">
        <v>2890</v>
      </c>
      <c r="N57" s="7">
        <v>3155</v>
      </c>
      <c r="O57" s="7">
        <v>2257</v>
      </c>
      <c r="P57" s="7">
        <v>776</v>
      </c>
      <c r="U57" s="8" t="s">
        <v>9</v>
      </c>
      <c r="V57" s="7">
        <f t="shared" ref="V57:AD57" si="80">V54/(V54+V53)</f>
        <v>0.20107962213225372</v>
      </c>
      <c r="W57" s="7">
        <f t="shared" si="80"/>
        <v>0.71789883268482491</v>
      </c>
      <c r="X57" s="7">
        <f t="shared" si="80"/>
        <v>0.4468937875751503</v>
      </c>
      <c r="Y57" s="7">
        <f t="shared" si="80"/>
        <v>0.56315007429420505</v>
      </c>
      <c r="Z57" s="7">
        <f t="shared" si="80"/>
        <v>0.45987654320987653</v>
      </c>
      <c r="AA57" s="7">
        <f t="shared" si="80"/>
        <v>0.4356955380577428</v>
      </c>
      <c r="AB57" s="7">
        <f t="shared" si="80"/>
        <v>0.49223946784922396</v>
      </c>
      <c r="AC57" s="7">
        <f t="shared" si="80"/>
        <v>0.30672268907563027</v>
      </c>
      <c r="AD57" s="7">
        <f t="shared" si="80"/>
        <v>0.92523364485981308</v>
      </c>
    </row>
    <row r="58" spans="1:33" x14ac:dyDescent="0.25">
      <c r="A58" s="8" t="s">
        <v>1</v>
      </c>
      <c r="B58" s="8">
        <v>2873</v>
      </c>
      <c r="C58" s="8">
        <v>3122</v>
      </c>
      <c r="D58" s="8">
        <v>2251</v>
      </c>
      <c r="E58" s="8">
        <v>444</v>
      </c>
      <c r="F58" s="8">
        <f>(B58+C58+D58+E58)/(B$51+C$51+D$51+E$51)</f>
        <v>0.90833072018396577</v>
      </c>
      <c r="G58" s="8"/>
      <c r="H58" s="8"/>
      <c r="J58" s="8"/>
      <c r="L58" s="8" t="s">
        <v>1</v>
      </c>
      <c r="M58" s="8">
        <v>584</v>
      </c>
      <c r="N58" s="8">
        <v>2684</v>
      </c>
      <c r="O58" s="8">
        <v>2237</v>
      </c>
      <c r="P58" s="8">
        <v>471</v>
      </c>
      <c r="Q58" s="8">
        <f>SUM(M58:P58)/SUM(M51:P51)</f>
        <v>0.64500809498111167</v>
      </c>
      <c r="U58" s="7" t="s">
        <v>73</v>
      </c>
      <c r="V58" s="7">
        <v>808</v>
      </c>
      <c r="W58" s="7">
        <v>640</v>
      </c>
      <c r="X58" s="7">
        <v>880</v>
      </c>
      <c r="Y58" s="7">
        <v>690</v>
      </c>
      <c r="Z58" s="7">
        <v>614</v>
      </c>
      <c r="AA58" s="7">
        <v>460</v>
      </c>
      <c r="AB58" s="7">
        <v>825</v>
      </c>
      <c r="AC58" s="7">
        <v>586</v>
      </c>
      <c r="AD58" s="7">
        <v>636</v>
      </c>
      <c r="AG58" s="7" t="s">
        <v>100</v>
      </c>
    </row>
    <row r="59" spans="1:33" x14ac:dyDescent="0.25">
      <c r="A59" s="8" t="s">
        <v>2</v>
      </c>
      <c r="B59" s="8">
        <f t="shared" ref="B59" si="81">B57-B58</f>
        <v>17</v>
      </c>
      <c r="C59" s="8">
        <f t="shared" ref="C59" si="82">C57-C58</f>
        <v>33</v>
      </c>
      <c r="D59" s="8">
        <f t="shared" ref="D59" si="83">D57-D58</f>
        <v>6</v>
      </c>
      <c r="E59" s="8">
        <f t="shared" ref="E59" si="84">E57-E58</f>
        <v>332</v>
      </c>
      <c r="F59" s="8">
        <f>SUM(B59:E59)/SUM(B$58:E$58)</f>
        <v>4.4649021864211741E-2</v>
      </c>
      <c r="G59" s="8"/>
      <c r="H59" s="8"/>
      <c r="J59" s="8"/>
      <c r="L59" s="8" t="s">
        <v>2</v>
      </c>
      <c r="M59" s="8">
        <f t="shared" ref="M59" si="85">M57-M58</f>
        <v>2306</v>
      </c>
      <c r="N59" s="8">
        <f t="shared" ref="N59" si="86">N57-N58</f>
        <v>471</v>
      </c>
      <c r="O59" s="8">
        <f t="shared" ref="O59" si="87">O57-O58</f>
        <v>20</v>
      </c>
      <c r="P59" s="8">
        <f t="shared" ref="P59" si="88">P57-P58</f>
        <v>305</v>
      </c>
      <c r="Q59" s="8">
        <f>SUM(M59:P59)/SUM(M58:P59)</f>
        <v>0.34170522141440846</v>
      </c>
      <c r="U59" s="8" t="s">
        <v>1</v>
      </c>
      <c r="V59" s="8">
        <v>719</v>
      </c>
      <c r="W59" s="8">
        <v>537</v>
      </c>
      <c r="X59" s="8">
        <v>298</v>
      </c>
      <c r="Y59" s="8">
        <v>433</v>
      </c>
      <c r="Z59" s="8">
        <v>323</v>
      </c>
      <c r="AA59" s="8">
        <v>34</v>
      </c>
      <c r="AB59" s="8">
        <v>400</v>
      </c>
      <c r="AC59" s="8">
        <v>451</v>
      </c>
      <c r="AD59" s="8">
        <v>37</v>
      </c>
      <c r="AE59" s="8">
        <f>SUM(V59:AD59)/SUM(V$51:AD$51)</f>
        <v>0.52914210870988865</v>
      </c>
    </row>
    <row r="60" spans="1:33" x14ac:dyDescent="0.25">
      <c r="A60" s="8" t="s">
        <v>8</v>
      </c>
      <c r="B60" s="7">
        <f>B58/B51</f>
        <v>0.90946502057613166</v>
      </c>
      <c r="C60" s="7">
        <f>C58/C51</f>
        <v>0.90703079604880887</v>
      </c>
      <c r="D60" s="7">
        <f>D58/D51</f>
        <v>0.91281427412814276</v>
      </c>
      <c r="E60" s="7">
        <f>E58/E51</f>
        <v>0.88800000000000001</v>
      </c>
      <c r="F60" s="8"/>
      <c r="G60" s="8"/>
      <c r="H60" s="8"/>
      <c r="I60" s="8"/>
      <c r="L60" s="8" t="s">
        <v>8</v>
      </c>
      <c r="M60" s="7">
        <f>M58/M51</f>
        <v>0.95894909688013141</v>
      </c>
      <c r="N60" s="7">
        <f>N58/N51</f>
        <v>0.9474055771267208</v>
      </c>
      <c r="O60" s="7">
        <f>O58/O51</f>
        <v>0.95070123246918825</v>
      </c>
      <c r="P60" s="7">
        <f>P58/P51</f>
        <v>0.13573487031700288</v>
      </c>
      <c r="Q60" s="8"/>
      <c r="U60" s="8" t="s">
        <v>2</v>
      </c>
      <c r="V60" s="8">
        <f>V58-V59</f>
        <v>89</v>
      </c>
      <c r="W60" s="8">
        <f t="shared" ref="W60" si="89">W58-W59</f>
        <v>103</v>
      </c>
      <c r="X60" s="8">
        <f t="shared" ref="X60" si="90">X58-X59</f>
        <v>582</v>
      </c>
      <c r="Y60" s="8">
        <f t="shared" ref="Y60" si="91">Y58-Y59</f>
        <v>257</v>
      </c>
      <c r="Z60" s="8">
        <f t="shared" ref="Z60" si="92">Z58-Z59</f>
        <v>291</v>
      </c>
      <c r="AA60" s="8">
        <f t="shared" ref="AA60" si="93">AA58-AA59</f>
        <v>426</v>
      </c>
      <c r="AB60" s="8">
        <f t="shared" ref="AB60" si="94">AB58-AB59</f>
        <v>425</v>
      </c>
      <c r="AC60" s="8">
        <f t="shared" ref="AC60" si="95">AC58-AC59</f>
        <v>135</v>
      </c>
      <c r="AD60" s="8">
        <f t="shared" ref="AD60" si="96">AD58-AD59</f>
        <v>599</v>
      </c>
      <c r="AE60" s="8">
        <f>SUM(V60:AD60)/SUM(V59:AD60)</f>
        <v>0.47352989086170388</v>
      </c>
    </row>
    <row r="61" spans="1:33" x14ac:dyDescent="0.25">
      <c r="A61" s="8" t="s">
        <v>9</v>
      </c>
      <c r="B61" s="7">
        <f t="shared" ref="B61:E61" si="97">B59/(B59+B58)</f>
        <v>5.8823529411764705E-3</v>
      </c>
      <c r="C61" s="7">
        <f t="shared" si="97"/>
        <v>1.0459587955625991E-2</v>
      </c>
      <c r="D61" s="7">
        <f t="shared" si="97"/>
        <v>2.658396101019052E-3</v>
      </c>
      <c r="E61" s="7">
        <f t="shared" si="97"/>
        <v>0.42783505154639173</v>
      </c>
      <c r="L61" s="8" t="s">
        <v>9</v>
      </c>
      <c r="M61" s="7">
        <f t="shared" ref="M61:P61" si="98">M59/(M59+M58)</f>
        <v>0.79792387543252596</v>
      </c>
      <c r="N61" s="7">
        <f t="shared" si="98"/>
        <v>0.14928684627575278</v>
      </c>
      <c r="O61" s="7">
        <f t="shared" si="98"/>
        <v>8.8613203367301722E-3</v>
      </c>
      <c r="P61" s="7">
        <f t="shared" si="98"/>
        <v>0.39304123711340205</v>
      </c>
      <c r="U61" s="8" t="s">
        <v>8</v>
      </c>
      <c r="V61" s="7">
        <f t="shared" ref="V61:AD61" si="99">V59/V51</f>
        <v>0.92894056847545214</v>
      </c>
      <c r="W61" s="7">
        <f t="shared" si="99"/>
        <v>0.82615384615384613</v>
      </c>
      <c r="X61" s="7">
        <f t="shared" si="99"/>
        <v>0.35308056872037913</v>
      </c>
      <c r="Y61" s="7">
        <f t="shared" si="99"/>
        <v>0.69838709677419353</v>
      </c>
      <c r="Z61" s="7">
        <f t="shared" si="99"/>
        <v>0.495398773006135</v>
      </c>
      <c r="AA61" s="7">
        <f t="shared" si="99"/>
        <v>4.4444444444444446E-2</v>
      </c>
      <c r="AB61" s="7">
        <f t="shared" si="99"/>
        <v>0.54644808743169404</v>
      </c>
      <c r="AC61" s="7">
        <f t="shared" si="99"/>
        <v>0.5949868073878628</v>
      </c>
      <c r="AD61" s="7">
        <f t="shared" si="99"/>
        <v>0.1182108626198083</v>
      </c>
    </row>
    <row r="62" spans="1:33" x14ac:dyDescent="0.25">
      <c r="A62" s="7" t="s">
        <v>12</v>
      </c>
      <c r="B62" s="7">
        <v>602</v>
      </c>
      <c r="C62" s="7">
        <v>2761</v>
      </c>
      <c r="D62" s="7">
        <v>2322</v>
      </c>
      <c r="E62" s="7">
        <v>390</v>
      </c>
      <c r="F62" s="8">
        <f>SUM(B62:E62)/SUM(B51:E51)</f>
        <v>0.63499529633113827</v>
      </c>
      <c r="U62" s="8" t="s">
        <v>9</v>
      </c>
      <c r="V62" s="7">
        <f t="shared" ref="V62:AC62" si="100">V60/(V60+V59)</f>
        <v>0.11014851485148515</v>
      </c>
      <c r="W62" s="7">
        <f t="shared" si="100"/>
        <v>0.16093750000000001</v>
      </c>
      <c r="X62" s="7">
        <f t="shared" si="100"/>
        <v>0.66136363636363638</v>
      </c>
      <c r="Y62" s="7">
        <f t="shared" si="100"/>
        <v>0.37246376811594201</v>
      </c>
      <c r="Z62" s="7">
        <f t="shared" si="100"/>
        <v>0.47394136807817588</v>
      </c>
      <c r="AA62" s="7">
        <f t="shared" si="100"/>
        <v>0.92608695652173911</v>
      </c>
      <c r="AB62" s="7">
        <f t="shared" si="100"/>
        <v>0.51515151515151514</v>
      </c>
      <c r="AC62" s="7">
        <f t="shared" si="100"/>
        <v>0.23037542662116042</v>
      </c>
      <c r="AD62" s="7">
        <f t="shared" ref="AD62" si="101">AD60/(AD60+AD59)</f>
        <v>0.94182389937106914</v>
      </c>
    </row>
    <row r="63" spans="1:33" x14ac:dyDescent="0.25">
      <c r="A63" s="7" t="s">
        <v>2</v>
      </c>
      <c r="B63" s="7">
        <v>7</v>
      </c>
      <c r="C63" s="7">
        <v>72</v>
      </c>
      <c r="D63" s="7">
        <v>31</v>
      </c>
      <c r="E63" s="7">
        <v>3080</v>
      </c>
      <c r="F63" s="8">
        <f>SUM(B63:E63)/SUM(B$62:E$63)</f>
        <v>0.34430652995143013</v>
      </c>
    </row>
    <row r="64" spans="1:33" x14ac:dyDescent="0.25">
      <c r="A64" s="7" t="s">
        <v>8</v>
      </c>
      <c r="B64" s="7">
        <f>B62/B51</f>
        <v>0.19056663501107945</v>
      </c>
      <c r="C64" s="7">
        <f>C62/C51</f>
        <v>0.80214991284137127</v>
      </c>
      <c r="D64" s="7">
        <f>D62/D51</f>
        <v>0.94160583941605835</v>
      </c>
      <c r="E64" s="7">
        <f>E62/E51</f>
        <v>0.78</v>
      </c>
    </row>
    <row r="65" spans="1:6" x14ac:dyDescent="0.25">
      <c r="A65" s="7" t="s">
        <v>9</v>
      </c>
      <c r="B65" s="7">
        <f>B63/(B63+B62)</f>
        <v>1.1494252873563218E-2</v>
      </c>
      <c r="C65" s="7">
        <f t="shared" ref="C65:E65" si="102">C63/(C63+C62)</f>
        <v>2.5414754677020826E-2</v>
      </c>
      <c r="D65" s="7">
        <f t="shared" si="102"/>
        <v>1.3174670633234169E-2</v>
      </c>
      <c r="E65" s="7">
        <f t="shared" si="102"/>
        <v>0.88760806916426516</v>
      </c>
    </row>
    <row r="66" spans="1:6" x14ac:dyDescent="0.25">
      <c r="A66" s="7" t="s">
        <v>95</v>
      </c>
      <c r="B66" s="7">
        <v>3154</v>
      </c>
      <c r="C66" s="7">
        <v>3441</v>
      </c>
      <c r="D66" s="7">
        <v>2466</v>
      </c>
      <c r="E66" s="7">
        <v>12</v>
      </c>
      <c r="F66" s="8">
        <f>SUM(B66:E66)/SUM(B51:E51)</f>
        <v>0.94836416849587124</v>
      </c>
    </row>
    <row r="67" spans="1:6" x14ac:dyDescent="0.25">
      <c r="A67" s="7" t="s">
        <v>2</v>
      </c>
      <c r="B67" s="7">
        <f>3326-B66</f>
        <v>172</v>
      </c>
      <c r="C67" s="7">
        <f>3641-C66</f>
        <v>200</v>
      </c>
      <c r="D67" s="7">
        <f>2583-D66</f>
        <v>117</v>
      </c>
      <c r="E67" s="7">
        <f>215-E66</f>
        <v>203</v>
      </c>
      <c r="F67" s="8">
        <f>SUM(B67:E67)/SUM(B$66:E$67)</f>
        <v>7.0865335381464417E-2</v>
      </c>
    </row>
    <row r="68" spans="1:6" x14ac:dyDescent="0.25">
      <c r="A68" s="7" t="s">
        <v>8</v>
      </c>
      <c r="B68" s="7">
        <f>B66/B51</f>
        <v>0.99841722063944283</v>
      </c>
      <c r="C68" s="7">
        <f t="shared" ref="C68:E68" si="103">C66/C51</f>
        <v>0.99970947123765252</v>
      </c>
      <c r="D68" s="7">
        <f t="shared" si="103"/>
        <v>1</v>
      </c>
      <c r="E68" s="7">
        <f t="shared" si="103"/>
        <v>2.4E-2</v>
      </c>
    </row>
    <row r="69" spans="1:6" x14ac:dyDescent="0.25">
      <c r="A69" s="7" t="s">
        <v>9</v>
      </c>
      <c r="B69" s="7">
        <f>B67/(B67+B66)</f>
        <v>5.1713770294648229E-2</v>
      </c>
      <c r="C69" s="7">
        <f t="shared" ref="C69:E69" si="104">C67/(C67+C66)</f>
        <v>5.4929964295523208E-2</v>
      </c>
      <c r="D69" s="7">
        <f t="shared" si="104"/>
        <v>4.5296167247386762E-2</v>
      </c>
      <c r="E69" s="7">
        <f t="shared" si="104"/>
        <v>0.94418604651162785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5"/>
  <sheetViews>
    <sheetView workbookViewId="0"/>
  </sheetViews>
  <sheetFormatPr defaultRowHeight="15" x14ac:dyDescent="0.25"/>
  <cols>
    <col min="1" max="1" width="4.140625" style="1" customWidth="1"/>
    <col min="2" max="2" width="9.140625" style="1"/>
    <col min="3" max="3" width="12.5703125" style="1" bestFit="1" customWidth="1"/>
    <col min="4" max="15" width="7.42578125" style="1" customWidth="1"/>
    <col min="16" max="16" width="9" style="1" customWidth="1"/>
    <col min="17" max="17" width="13.85546875" style="1" customWidth="1"/>
    <col min="18" max="34" width="3.28515625" style="1" customWidth="1"/>
    <col min="35" max="35" width="8.28515625" style="1" customWidth="1"/>
    <col min="36" max="36" width="13.85546875" style="1" customWidth="1"/>
    <col min="37" max="53" width="3.28515625" style="1" customWidth="1"/>
    <col min="54" max="16384" width="9.140625" style="1"/>
  </cols>
  <sheetData>
    <row r="1" spans="2:53" x14ac:dyDescent="0.25">
      <c r="Q1" s="6"/>
    </row>
    <row r="2" spans="2:53" x14ac:dyDescent="0.25">
      <c r="B2" s="11" t="s">
        <v>20</v>
      </c>
      <c r="C2" s="12"/>
      <c r="D2" s="13" t="s">
        <v>3</v>
      </c>
      <c r="E2" s="13" t="s">
        <v>4</v>
      </c>
      <c r="F2" s="13" t="s">
        <v>5</v>
      </c>
      <c r="G2" s="13" t="s">
        <v>7</v>
      </c>
      <c r="H2" s="13" t="s">
        <v>26</v>
      </c>
      <c r="I2" s="13" t="s">
        <v>27</v>
      </c>
      <c r="J2" s="13" t="s">
        <v>28</v>
      </c>
      <c r="K2" s="13" t="s">
        <v>29</v>
      </c>
      <c r="L2" s="13" t="s">
        <v>31</v>
      </c>
      <c r="M2" s="13" t="s">
        <v>34</v>
      </c>
      <c r="N2" s="13"/>
      <c r="O2" s="14"/>
      <c r="Q2" s="15" t="s">
        <v>26</v>
      </c>
      <c r="R2" s="16" t="s">
        <v>24</v>
      </c>
      <c r="S2" s="16"/>
      <c r="T2" s="16"/>
      <c r="U2" s="16"/>
      <c r="V2" s="16"/>
      <c r="W2" s="16"/>
      <c r="X2" s="16"/>
      <c r="Y2" s="16"/>
      <c r="Z2" s="13"/>
      <c r="AA2" s="16" t="s">
        <v>25</v>
      </c>
      <c r="AB2" s="16"/>
      <c r="AC2" s="16"/>
      <c r="AD2" s="16"/>
      <c r="AE2" s="16"/>
      <c r="AF2" s="16"/>
      <c r="AG2" s="16"/>
      <c r="AH2" s="17"/>
      <c r="AJ2" s="15" t="s">
        <v>27</v>
      </c>
      <c r="AK2" s="16" t="s">
        <v>24</v>
      </c>
      <c r="AL2" s="16"/>
      <c r="AM2" s="16"/>
      <c r="AN2" s="16"/>
      <c r="AO2" s="16"/>
      <c r="AP2" s="16"/>
      <c r="AQ2" s="16"/>
      <c r="AR2" s="16"/>
      <c r="AS2" s="13"/>
      <c r="AT2" s="16" t="s">
        <v>25</v>
      </c>
      <c r="AU2" s="16"/>
      <c r="AV2" s="16"/>
      <c r="AW2" s="16"/>
      <c r="AX2" s="16"/>
      <c r="AY2" s="16"/>
      <c r="AZ2" s="16"/>
      <c r="BA2" s="17"/>
    </row>
    <row r="3" spans="2:53" x14ac:dyDescent="0.25">
      <c r="B3" s="18" t="s">
        <v>21</v>
      </c>
      <c r="C3" s="4" t="s">
        <v>15</v>
      </c>
      <c r="D3" s="19">
        <v>20510</v>
      </c>
      <c r="E3" s="19">
        <v>24030</v>
      </c>
      <c r="F3" s="19">
        <v>26499</v>
      </c>
      <c r="G3" s="19">
        <v>32748</v>
      </c>
      <c r="H3" s="19">
        <v>3968</v>
      </c>
      <c r="I3" s="19">
        <v>8490</v>
      </c>
      <c r="J3" s="19">
        <v>8380</v>
      </c>
      <c r="K3" s="19">
        <v>7061</v>
      </c>
      <c r="L3" s="19">
        <v>12262</v>
      </c>
      <c r="M3" s="19">
        <v>13540</v>
      </c>
      <c r="N3" s="19"/>
      <c r="O3" s="20"/>
      <c r="Q3" s="21"/>
      <c r="R3" s="22">
        <v>1</v>
      </c>
      <c r="S3" s="22">
        <v>2</v>
      </c>
      <c r="T3" s="22">
        <v>3</v>
      </c>
      <c r="U3" s="22">
        <v>4</v>
      </c>
      <c r="V3" s="22">
        <v>5</v>
      </c>
      <c r="W3" s="22">
        <v>6</v>
      </c>
      <c r="X3" s="22">
        <v>7</v>
      </c>
      <c r="Y3" s="22"/>
      <c r="Z3" s="22"/>
      <c r="AA3" s="22">
        <v>11</v>
      </c>
      <c r="AB3" s="22">
        <v>28</v>
      </c>
      <c r="AC3" s="22">
        <v>53</v>
      </c>
      <c r="AD3" s="22">
        <v>110</v>
      </c>
      <c r="AE3" s="22">
        <v>181</v>
      </c>
      <c r="AF3" s="22">
        <v>195</v>
      </c>
      <c r="AG3" s="22">
        <v>326</v>
      </c>
      <c r="AH3" s="23"/>
      <c r="AJ3" s="21"/>
      <c r="AK3" s="22">
        <v>1</v>
      </c>
      <c r="AL3" s="22">
        <v>2</v>
      </c>
      <c r="AM3" s="22">
        <v>3</v>
      </c>
      <c r="AN3" s="22">
        <v>4</v>
      </c>
      <c r="AO3" s="22">
        <v>5</v>
      </c>
      <c r="AP3" s="22">
        <v>6</v>
      </c>
      <c r="AQ3" s="22">
        <v>7</v>
      </c>
      <c r="AR3" s="22">
        <v>8</v>
      </c>
      <c r="AS3" s="22"/>
      <c r="AT3" s="22">
        <v>104</v>
      </c>
      <c r="AU3" s="22">
        <v>114</v>
      </c>
      <c r="AV3" s="22">
        <v>137</v>
      </c>
      <c r="AW3" s="22">
        <v>145</v>
      </c>
      <c r="AX3" s="22">
        <v>161</v>
      </c>
      <c r="AY3" s="22">
        <v>184</v>
      </c>
      <c r="AZ3" s="22">
        <v>212</v>
      </c>
      <c r="BA3" s="23">
        <v>253</v>
      </c>
    </row>
    <row r="4" spans="2:53" x14ac:dyDescent="0.25">
      <c r="B4" s="18"/>
      <c r="C4" s="4" t="s">
        <v>16</v>
      </c>
      <c r="D4" s="19">
        <v>259</v>
      </c>
      <c r="E4" s="19">
        <v>291</v>
      </c>
      <c r="F4" s="19">
        <v>306</v>
      </c>
      <c r="G4" s="19">
        <v>351</v>
      </c>
      <c r="H4" s="19">
        <v>26</v>
      </c>
      <c r="I4" s="19">
        <v>118</v>
      </c>
      <c r="J4" s="19">
        <v>77</v>
      </c>
      <c r="K4" s="19">
        <v>141</v>
      </c>
      <c r="L4" s="19">
        <v>235</v>
      </c>
      <c r="M4" s="19">
        <v>222</v>
      </c>
      <c r="N4" s="19"/>
      <c r="O4" s="20"/>
      <c r="Q4" s="21" t="s">
        <v>45</v>
      </c>
      <c r="R4" s="24">
        <v>1</v>
      </c>
      <c r="S4" s="25">
        <v>0</v>
      </c>
      <c r="T4" s="26">
        <v>0</v>
      </c>
      <c r="U4" s="27">
        <v>1</v>
      </c>
      <c r="V4" s="28">
        <v>0</v>
      </c>
      <c r="W4" s="29">
        <v>0</v>
      </c>
      <c r="X4" s="4">
        <v>1</v>
      </c>
      <c r="Y4" s="4"/>
      <c r="Z4" s="4"/>
      <c r="AA4" s="29">
        <v>0</v>
      </c>
      <c r="AB4" s="24">
        <v>1</v>
      </c>
      <c r="AC4" s="25">
        <v>0</v>
      </c>
      <c r="AD4" s="28">
        <v>0</v>
      </c>
      <c r="AE4" s="27">
        <v>1</v>
      </c>
      <c r="AF4" s="4">
        <v>1</v>
      </c>
      <c r="AG4" s="26">
        <v>0</v>
      </c>
      <c r="AH4" s="30"/>
      <c r="AJ4" s="21" t="s">
        <v>74</v>
      </c>
      <c r="AK4" s="24">
        <v>0</v>
      </c>
      <c r="AL4" s="31">
        <v>0</v>
      </c>
      <c r="AM4" s="27">
        <v>1</v>
      </c>
      <c r="AN4" s="28">
        <v>1</v>
      </c>
      <c r="AO4" s="29">
        <v>0</v>
      </c>
      <c r="AP4" s="26">
        <v>1</v>
      </c>
      <c r="AQ4" s="4">
        <v>0</v>
      </c>
      <c r="AR4" s="32">
        <v>1</v>
      </c>
      <c r="AS4" s="4"/>
      <c r="AT4" s="31">
        <v>0</v>
      </c>
      <c r="AU4" s="32">
        <v>1</v>
      </c>
      <c r="AV4" s="24">
        <v>0</v>
      </c>
      <c r="AW4" s="4">
        <v>0</v>
      </c>
      <c r="AX4" s="26">
        <v>1</v>
      </c>
      <c r="AY4" s="28">
        <v>1</v>
      </c>
      <c r="AZ4" s="29">
        <v>0</v>
      </c>
      <c r="BA4" s="33">
        <v>1</v>
      </c>
    </row>
    <row r="5" spans="2:53" x14ac:dyDescent="0.25">
      <c r="B5" s="18"/>
      <c r="C5" s="4" t="s">
        <v>17</v>
      </c>
      <c r="D5" s="19">
        <v>1</v>
      </c>
      <c r="E5" s="19">
        <v>3</v>
      </c>
      <c r="F5" s="19">
        <v>3</v>
      </c>
      <c r="G5" s="19">
        <v>2</v>
      </c>
      <c r="H5" s="19">
        <v>13</v>
      </c>
      <c r="I5" s="19">
        <v>21</v>
      </c>
      <c r="J5" s="19">
        <v>19</v>
      </c>
      <c r="K5" s="19">
        <v>17</v>
      </c>
      <c r="L5" s="19">
        <v>40</v>
      </c>
      <c r="M5" s="19">
        <v>1364</v>
      </c>
      <c r="N5" s="19"/>
      <c r="O5" s="20"/>
      <c r="Q5" s="21" t="s">
        <v>52</v>
      </c>
      <c r="R5" s="24">
        <v>0</v>
      </c>
      <c r="S5" s="25">
        <v>0</v>
      </c>
      <c r="T5" s="26">
        <v>1</v>
      </c>
      <c r="U5" s="27">
        <v>0</v>
      </c>
      <c r="V5" s="28">
        <v>0</v>
      </c>
      <c r="W5" s="29">
        <v>0</v>
      </c>
      <c r="X5" s="4">
        <v>1</v>
      </c>
      <c r="Y5" s="4"/>
      <c r="Z5" s="4"/>
      <c r="AA5" s="29">
        <v>0</v>
      </c>
      <c r="AB5" s="24">
        <v>0</v>
      </c>
      <c r="AC5" s="25">
        <v>0</v>
      </c>
      <c r="AD5" s="28">
        <v>0</v>
      </c>
      <c r="AE5" s="27">
        <v>0</v>
      </c>
      <c r="AF5" s="4">
        <v>1</v>
      </c>
      <c r="AG5" s="26">
        <v>1</v>
      </c>
      <c r="AH5" s="30"/>
      <c r="AJ5" s="21" t="s">
        <v>56</v>
      </c>
      <c r="AK5" s="24">
        <v>0</v>
      </c>
      <c r="AL5" s="31">
        <v>0</v>
      </c>
      <c r="AM5" s="27">
        <v>0</v>
      </c>
      <c r="AN5" s="28">
        <v>1</v>
      </c>
      <c r="AO5" s="29">
        <v>0</v>
      </c>
      <c r="AP5" s="26">
        <v>0</v>
      </c>
      <c r="AQ5" s="4">
        <v>1</v>
      </c>
      <c r="AR5" s="32">
        <v>1</v>
      </c>
      <c r="AS5" s="4"/>
      <c r="AT5" s="31">
        <v>0</v>
      </c>
      <c r="AU5" s="32">
        <v>1</v>
      </c>
      <c r="AV5" s="24">
        <v>0</v>
      </c>
      <c r="AW5" s="4">
        <v>1</v>
      </c>
      <c r="AX5" s="26">
        <v>0</v>
      </c>
      <c r="AY5" s="28">
        <v>1</v>
      </c>
      <c r="AZ5" s="29">
        <v>0</v>
      </c>
      <c r="BA5" s="33">
        <v>0</v>
      </c>
    </row>
    <row r="6" spans="2:53" x14ac:dyDescent="0.25">
      <c r="B6" s="18"/>
      <c r="C6" s="4" t="s">
        <v>18</v>
      </c>
      <c r="D6" s="19">
        <v>239663</v>
      </c>
      <c r="E6" s="19">
        <v>363823</v>
      </c>
      <c r="F6" s="19">
        <v>489733</v>
      </c>
      <c r="G6" s="19">
        <v>993126</v>
      </c>
      <c r="H6" s="19">
        <v>15270</v>
      </c>
      <c r="I6" s="19">
        <v>28740</v>
      </c>
      <c r="J6" s="19">
        <v>27916</v>
      </c>
      <c r="K6" s="19">
        <v>25295</v>
      </c>
      <c r="L6" s="19">
        <v>37314</v>
      </c>
      <c r="M6" s="19">
        <v>15973</v>
      </c>
      <c r="N6" s="19"/>
      <c r="O6" s="20"/>
      <c r="Q6" s="21" t="s">
        <v>72</v>
      </c>
      <c r="R6" s="24">
        <v>1</v>
      </c>
      <c r="S6" s="25">
        <v>1</v>
      </c>
      <c r="T6" s="26">
        <v>1</v>
      </c>
      <c r="U6" s="27">
        <v>1</v>
      </c>
      <c r="V6" s="28">
        <v>1</v>
      </c>
      <c r="W6" s="29">
        <v>1</v>
      </c>
      <c r="X6" s="4">
        <v>0</v>
      </c>
      <c r="Y6" s="4"/>
      <c r="Z6" s="4"/>
      <c r="AA6" s="29">
        <v>1</v>
      </c>
      <c r="AB6" s="24">
        <v>1</v>
      </c>
      <c r="AC6" s="25">
        <v>1</v>
      </c>
      <c r="AD6" s="28">
        <v>1</v>
      </c>
      <c r="AE6" s="27">
        <v>1</v>
      </c>
      <c r="AF6" s="4">
        <v>0</v>
      </c>
      <c r="AG6" s="26">
        <v>1</v>
      </c>
      <c r="AH6" s="30"/>
      <c r="AJ6" s="21" t="s">
        <v>69</v>
      </c>
      <c r="AK6" s="24">
        <v>1</v>
      </c>
      <c r="AL6" s="31">
        <v>0</v>
      </c>
      <c r="AM6" s="27">
        <v>1</v>
      </c>
      <c r="AN6" s="28">
        <v>0</v>
      </c>
      <c r="AO6" s="29">
        <v>1</v>
      </c>
      <c r="AP6" s="26">
        <v>0</v>
      </c>
      <c r="AQ6" s="4">
        <v>0</v>
      </c>
      <c r="AR6" s="32">
        <v>1</v>
      </c>
      <c r="AS6" s="4"/>
      <c r="AT6" s="31">
        <v>0</v>
      </c>
      <c r="AU6" s="32">
        <v>1</v>
      </c>
      <c r="AV6" s="24">
        <v>1</v>
      </c>
      <c r="AW6" s="4">
        <v>0</v>
      </c>
      <c r="AX6" s="26">
        <v>0</v>
      </c>
      <c r="AY6" s="28">
        <v>0</v>
      </c>
      <c r="AZ6" s="29">
        <v>1</v>
      </c>
      <c r="BA6" s="33">
        <v>1</v>
      </c>
    </row>
    <row r="7" spans="2:53" x14ac:dyDescent="0.25">
      <c r="B7" s="34"/>
      <c r="C7" s="35" t="s">
        <v>19</v>
      </c>
      <c r="D7" s="36">
        <v>117747</v>
      </c>
      <c r="E7" s="36">
        <v>179123</v>
      </c>
      <c r="F7" s="36">
        <v>239819</v>
      </c>
      <c r="G7" s="36">
        <v>486493</v>
      </c>
      <c r="H7" s="36">
        <v>39726</v>
      </c>
      <c r="I7" s="36">
        <v>83774</v>
      </c>
      <c r="J7" s="36">
        <v>79879</v>
      </c>
      <c r="K7" s="36">
        <v>72918</v>
      </c>
      <c r="L7" s="36">
        <v>104758</v>
      </c>
      <c r="M7" s="36">
        <v>36698</v>
      </c>
      <c r="N7" s="36"/>
      <c r="O7" s="37"/>
      <c r="Q7" s="21" t="s">
        <v>53</v>
      </c>
      <c r="R7" s="24">
        <v>0</v>
      </c>
      <c r="S7" s="25">
        <v>0</v>
      </c>
      <c r="T7" s="26">
        <v>1</v>
      </c>
      <c r="U7" s="27">
        <v>0</v>
      </c>
      <c r="V7" s="28">
        <v>1</v>
      </c>
      <c r="W7" s="29">
        <v>0</v>
      </c>
      <c r="X7" s="4">
        <v>1</v>
      </c>
      <c r="Y7" s="4"/>
      <c r="Z7" s="4"/>
      <c r="AA7" s="29">
        <v>0</v>
      </c>
      <c r="AB7" s="24">
        <v>0</v>
      </c>
      <c r="AC7" s="25">
        <v>0</v>
      </c>
      <c r="AD7" s="28">
        <v>1</v>
      </c>
      <c r="AE7" s="27">
        <v>0</v>
      </c>
      <c r="AF7" s="4">
        <v>1</v>
      </c>
      <c r="AG7" s="26">
        <v>1</v>
      </c>
      <c r="AH7" s="30"/>
      <c r="AJ7" s="21" t="s">
        <v>75</v>
      </c>
      <c r="AK7" s="24">
        <v>0</v>
      </c>
      <c r="AL7" s="31">
        <v>1</v>
      </c>
      <c r="AM7" s="27">
        <v>1</v>
      </c>
      <c r="AN7" s="28">
        <v>1</v>
      </c>
      <c r="AO7" s="29">
        <v>0</v>
      </c>
      <c r="AP7" s="26">
        <v>0</v>
      </c>
      <c r="AQ7" s="4">
        <v>0</v>
      </c>
      <c r="AR7" s="32">
        <v>0</v>
      </c>
      <c r="AS7" s="4"/>
      <c r="AT7" s="31">
        <v>1</v>
      </c>
      <c r="AU7" s="32">
        <v>0</v>
      </c>
      <c r="AV7" s="24">
        <v>0</v>
      </c>
      <c r="AW7" s="4">
        <v>0</v>
      </c>
      <c r="AX7" s="26">
        <v>0</v>
      </c>
      <c r="AY7" s="28">
        <v>1</v>
      </c>
      <c r="AZ7" s="29">
        <v>0</v>
      </c>
      <c r="BA7" s="33">
        <v>1</v>
      </c>
    </row>
    <row r="8" spans="2:53" x14ac:dyDescent="0.25">
      <c r="B8" s="18" t="s">
        <v>22</v>
      </c>
      <c r="C8" s="4" t="s">
        <v>15</v>
      </c>
      <c r="D8" s="19" t="s">
        <v>40</v>
      </c>
      <c r="E8" s="19" t="s">
        <v>40</v>
      </c>
      <c r="F8" s="19" t="s">
        <v>40</v>
      </c>
      <c r="G8" s="19" t="s">
        <v>40</v>
      </c>
      <c r="H8" s="19">
        <v>681</v>
      </c>
      <c r="I8" s="19">
        <v>1366</v>
      </c>
      <c r="J8" s="19">
        <v>1328</v>
      </c>
      <c r="K8" s="19">
        <v>1088</v>
      </c>
      <c r="L8" s="19">
        <v>1943</v>
      </c>
      <c r="M8" s="19" t="s">
        <v>40</v>
      </c>
      <c r="N8" s="19"/>
      <c r="O8" s="20"/>
      <c r="Q8" s="21" t="s">
        <v>48</v>
      </c>
      <c r="R8" s="24">
        <v>0</v>
      </c>
      <c r="S8" s="25">
        <v>1</v>
      </c>
      <c r="T8" s="26">
        <v>0</v>
      </c>
      <c r="U8" s="27">
        <v>0</v>
      </c>
      <c r="V8" s="28">
        <v>1</v>
      </c>
      <c r="W8" s="29">
        <v>1</v>
      </c>
      <c r="X8" s="4">
        <v>1</v>
      </c>
      <c r="Y8" s="4"/>
      <c r="Z8" s="4"/>
      <c r="AA8" s="29">
        <v>1</v>
      </c>
      <c r="AB8" s="24">
        <v>0</v>
      </c>
      <c r="AC8" s="25">
        <v>1</v>
      </c>
      <c r="AD8" s="28">
        <v>1</v>
      </c>
      <c r="AE8" s="27">
        <v>0</v>
      </c>
      <c r="AF8" s="4">
        <v>1</v>
      </c>
      <c r="AG8" s="26">
        <v>0</v>
      </c>
      <c r="AH8" s="30"/>
      <c r="AJ8" s="21" t="s">
        <v>76</v>
      </c>
      <c r="AK8" s="24">
        <v>1</v>
      </c>
      <c r="AL8" s="31">
        <v>0</v>
      </c>
      <c r="AM8" s="27">
        <v>0</v>
      </c>
      <c r="AN8" s="28">
        <v>1</v>
      </c>
      <c r="AO8" s="29">
        <v>0</v>
      </c>
      <c r="AP8" s="26">
        <v>0</v>
      </c>
      <c r="AQ8" s="4">
        <v>1</v>
      </c>
      <c r="AR8" s="32">
        <v>0</v>
      </c>
      <c r="AS8" s="4"/>
      <c r="AT8" s="31">
        <v>0</v>
      </c>
      <c r="AU8" s="32">
        <v>0</v>
      </c>
      <c r="AV8" s="24">
        <v>1</v>
      </c>
      <c r="AW8" s="4">
        <v>1</v>
      </c>
      <c r="AX8" s="26">
        <v>0</v>
      </c>
      <c r="AY8" s="28">
        <v>1</v>
      </c>
      <c r="AZ8" s="29">
        <v>0</v>
      </c>
      <c r="BA8" s="33">
        <v>0</v>
      </c>
    </row>
    <row r="9" spans="2:53" x14ac:dyDescent="0.25">
      <c r="B9" s="18"/>
      <c r="C9" s="4" t="s">
        <v>16</v>
      </c>
      <c r="D9" s="19" t="s">
        <v>40</v>
      </c>
      <c r="E9" s="19" t="s">
        <v>40</v>
      </c>
      <c r="F9" s="19" t="s">
        <v>40</v>
      </c>
      <c r="G9" s="19" t="s">
        <v>40</v>
      </c>
      <c r="H9" s="19">
        <v>196</v>
      </c>
      <c r="I9" s="19">
        <v>421</v>
      </c>
      <c r="J9" s="19">
        <v>375</v>
      </c>
      <c r="K9" s="19">
        <v>411</v>
      </c>
      <c r="L9" s="19">
        <v>42</v>
      </c>
      <c r="M9" s="19" t="s">
        <v>40</v>
      </c>
      <c r="N9" s="19"/>
      <c r="O9" s="20"/>
      <c r="Q9" s="21" t="s">
        <v>49</v>
      </c>
      <c r="R9" s="24">
        <v>0</v>
      </c>
      <c r="S9" s="25">
        <v>0</v>
      </c>
      <c r="T9" s="26">
        <v>1</v>
      </c>
      <c r="U9" s="27">
        <v>0</v>
      </c>
      <c r="V9" s="28">
        <v>1</v>
      </c>
      <c r="W9" s="29">
        <v>1</v>
      </c>
      <c r="X9" s="4">
        <v>0</v>
      </c>
      <c r="Y9" s="4"/>
      <c r="Z9" s="4"/>
      <c r="AA9" s="29">
        <v>1</v>
      </c>
      <c r="AB9" s="24">
        <v>0</v>
      </c>
      <c r="AC9" s="25">
        <v>0</v>
      </c>
      <c r="AD9" s="28">
        <v>1</v>
      </c>
      <c r="AE9" s="27">
        <v>0</v>
      </c>
      <c r="AF9" s="4">
        <v>0</v>
      </c>
      <c r="AG9" s="26">
        <v>1</v>
      </c>
      <c r="AH9" s="30"/>
      <c r="AJ9" s="21" t="s">
        <v>57</v>
      </c>
      <c r="AK9" s="24">
        <v>0</v>
      </c>
      <c r="AL9" s="31">
        <v>0</v>
      </c>
      <c r="AM9" s="27">
        <v>0</v>
      </c>
      <c r="AN9" s="28">
        <v>0</v>
      </c>
      <c r="AO9" s="29">
        <v>0</v>
      </c>
      <c r="AP9" s="26">
        <v>1</v>
      </c>
      <c r="AQ9" s="4">
        <v>1</v>
      </c>
      <c r="AR9" s="32">
        <v>0</v>
      </c>
      <c r="AS9" s="4"/>
      <c r="AT9" s="31">
        <v>0</v>
      </c>
      <c r="AU9" s="32">
        <v>0</v>
      </c>
      <c r="AV9" s="24">
        <v>0</v>
      </c>
      <c r="AW9" s="4">
        <v>1</v>
      </c>
      <c r="AX9" s="26">
        <v>1</v>
      </c>
      <c r="AY9" s="28">
        <v>0</v>
      </c>
      <c r="AZ9" s="29">
        <v>0</v>
      </c>
      <c r="BA9" s="33">
        <v>0</v>
      </c>
    </row>
    <row r="10" spans="2:53" x14ac:dyDescent="0.25">
      <c r="B10" s="18"/>
      <c r="C10" s="4" t="s">
        <v>17</v>
      </c>
      <c r="D10" s="19" t="s">
        <v>40</v>
      </c>
      <c r="E10" s="19" t="s">
        <v>40</v>
      </c>
      <c r="F10" s="19" t="s">
        <v>40</v>
      </c>
      <c r="G10" s="19" t="s">
        <v>40</v>
      </c>
      <c r="H10" s="19">
        <v>41</v>
      </c>
      <c r="I10" s="19">
        <v>76</v>
      </c>
      <c r="J10" s="19">
        <v>94</v>
      </c>
      <c r="K10" s="19">
        <v>62</v>
      </c>
      <c r="L10" s="19">
        <v>2</v>
      </c>
      <c r="M10" s="19" t="s">
        <v>40</v>
      </c>
      <c r="N10" s="19"/>
      <c r="O10" s="20"/>
      <c r="Q10" s="21" t="s">
        <v>54</v>
      </c>
      <c r="R10" s="24">
        <v>0</v>
      </c>
      <c r="S10" s="25">
        <v>1</v>
      </c>
      <c r="T10" s="26">
        <v>0</v>
      </c>
      <c r="U10" s="27">
        <v>1</v>
      </c>
      <c r="V10" s="28">
        <v>0</v>
      </c>
      <c r="W10" s="29">
        <v>0</v>
      </c>
      <c r="X10" s="4">
        <v>1</v>
      </c>
      <c r="Y10" s="4"/>
      <c r="Z10" s="4"/>
      <c r="AA10" s="29">
        <v>0</v>
      </c>
      <c r="AB10" s="24">
        <v>0</v>
      </c>
      <c r="AC10" s="25">
        <v>1</v>
      </c>
      <c r="AD10" s="28">
        <v>0</v>
      </c>
      <c r="AE10" s="27">
        <v>1</v>
      </c>
      <c r="AF10" s="4">
        <v>1</v>
      </c>
      <c r="AG10" s="26">
        <v>0</v>
      </c>
      <c r="AH10" s="30"/>
      <c r="AJ10" s="21" t="s">
        <v>58</v>
      </c>
      <c r="AK10" s="24">
        <v>0</v>
      </c>
      <c r="AL10" s="31">
        <v>0</v>
      </c>
      <c r="AM10" s="27">
        <v>1</v>
      </c>
      <c r="AN10" s="28">
        <v>1</v>
      </c>
      <c r="AO10" s="29">
        <v>1</v>
      </c>
      <c r="AP10" s="26">
        <v>0</v>
      </c>
      <c r="AQ10" s="4">
        <v>1</v>
      </c>
      <c r="AR10" s="32">
        <v>0</v>
      </c>
      <c r="AS10" s="4"/>
      <c r="AT10" s="31">
        <v>0</v>
      </c>
      <c r="AU10" s="32">
        <v>0</v>
      </c>
      <c r="AV10" s="24">
        <v>0</v>
      </c>
      <c r="AW10" s="4">
        <v>1</v>
      </c>
      <c r="AX10" s="26">
        <v>0</v>
      </c>
      <c r="AY10" s="28">
        <v>1</v>
      </c>
      <c r="AZ10" s="29">
        <v>1</v>
      </c>
      <c r="BA10" s="33">
        <v>1</v>
      </c>
    </row>
    <row r="11" spans="2:53" x14ac:dyDescent="0.25">
      <c r="B11" s="18"/>
      <c r="C11" s="4" t="s">
        <v>18</v>
      </c>
      <c r="D11" s="19" t="s">
        <v>40</v>
      </c>
      <c r="E11" s="19" t="s">
        <v>40</v>
      </c>
      <c r="F11" s="19" t="s">
        <v>40</v>
      </c>
      <c r="G11" s="19" t="s">
        <v>40</v>
      </c>
      <c r="H11" s="19">
        <v>2380</v>
      </c>
      <c r="I11" s="19">
        <v>4177</v>
      </c>
      <c r="J11" s="19">
        <v>4174</v>
      </c>
      <c r="K11" s="19">
        <v>4017</v>
      </c>
      <c r="L11" s="19">
        <v>2813</v>
      </c>
      <c r="M11" s="19" t="s">
        <v>40</v>
      </c>
      <c r="N11" s="19"/>
      <c r="O11" s="20"/>
      <c r="Q11" s="38"/>
      <c r="R11" s="39"/>
      <c r="S11" s="40"/>
      <c r="T11" s="41"/>
      <c r="U11" s="42"/>
      <c r="V11" s="43"/>
      <c r="W11" s="44"/>
      <c r="X11" s="35"/>
      <c r="Y11" s="35"/>
      <c r="Z11" s="35"/>
      <c r="AA11" s="39"/>
      <c r="AB11" s="44"/>
      <c r="AC11" s="41"/>
      <c r="AD11" s="40"/>
      <c r="AE11" s="35"/>
      <c r="AF11" s="42"/>
      <c r="AG11" s="43"/>
      <c r="AH11" s="45"/>
      <c r="AJ11" s="38" t="s">
        <v>47</v>
      </c>
      <c r="AK11" s="39">
        <v>0</v>
      </c>
      <c r="AL11" s="40">
        <v>0</v>
      </c>
      <c r="AM11" s="41">
        <v>0</v>
      </c>
      <c r="AN11" s="42">
        <v>0</v>
      </c>
      <c r="AO11" s="43">
        <v>1</v>
      </c>
      <c r="AP11" s="44">
        <v>1</v>
      </c>
      <c r="AQ11" s="35">
        <v>0</v>
      </c>
      <c r="AR11" s="46">
        <v>1</v>
      </c>
      <c r="AS11" s="35"/>
      <c r="AT11" s="40">
        <v>0</v>
      </c>
      <c r="AU11" s="46">
        <v>1</v>
      </c>
      <c r="AV11" s="39">
        <v>0</v>
      </c>
      <c r="AW11" s="35">
        <v>0</v>
      </c>
      <c r="AX11" s="44">
        <v>1</v>
      </c>
      <c r="AY11" s="42">
        <v>0</v>
      </c>
      <c r="AZ11" s="43">
        <v>1</v>
      </c>
      <c r="BA11" s="47">
        <v>0</v>
      </c>
    </row>
    <row r="12" spans="2:53" x14ac:dyDescent="0.25">
      <c r="B12" s="34"/>
      <c r="C12" s="35" t="s">
        <v>19</v>
      </c>
      <c r="D12" s="36" t="s">
        <v>40</v>
      </c>
      <c r="E12" s="36" t="s">
        <v>40</v>
      </c>
      <c r="F12" s="36" t="s">
        <v>40</v>
      </c>
      <c r="G12" s="36" t="s">
        <v>40</v>
      </c>
      <c r="H12" s="36">
        <v>3352</v>
      </c>
      <c r="I12" s="36">
        <v>6128</v>
      </c>
      <c r="J12" s="36">
        <v>5829</v>
      </c>
      <c r="K12" s="36">
        <v>5422</v>
      </c>
      <c r="L12" s="36">
        <v>8045</v>
      </c>
      <c r="M12" s="36" t="s">
        <v>40</v>
      </c>
      <c r="N12" s="36"/>
      <c r="O12" s="37"/>
    </row>
    <row r="13" spans="2:53" x14ac:dyDescent="0.25">
      <c r="B13" s="18" t="s">
        <v>41</v>
      </c>
      <c r="C13" s="4" t="s">
        <v>15</v>
      </c>
      <c r="D13" s="19" t="s">
        <v>40</v>
      </c>
      <c r="E13" s="19" t="s">
        <v>40</v>
      </c>
      <c r="F13" s="19" t="s">
        <v>40</v>
      </c>
      <c r="G13" s="19" t="s">
        <v>40</v>
      </c>
      <c r="H13" s="19">
        <v>3530</v>
      </c>
      <c r="I13" s="19">
        <v>4496</v>
      </c>
      <c r="J13" s="19">
        <v>4903</v>
      </c>
      <c r="K13" s="19">
        <v>7007</v>
      </c>
      <c r="L13" s="19">
        <v>5851</v>
      </c>
      <c r="M13" s="19">
        <v>10557</v>
      </c>
      <c r="N13" s="19"/>
      <c r="O13" s="20"/>
    </row>
    <row r="14" spans="2:53" x14ac:dyDescent="0.25">
      <c r="B14" s="18"/>
      <c r="C14" s="4" t="s">
        <v>16</v>
      </c>
      <c r="D14" s="19" t="s">
        <v>40</v>
      </c>
      <c r="E14" s="19" t="s">
        <v>40</v>
      </c>
      <c r="F14" s="19" t="s">
        <v>40</v>
      </c>
      <c r="G14" s="19" t="s">
        <v>40</v>
      </c>
      <c r="H14" s="19">
        <v>101</v>
      </c>
      <c r="I14" s="19">
        <v>16</v>
      </c>
      <c r="J14" s="19">
        <v>130</v>
      </c>
      <c r="K14" s="19">
        <v>278</v>
      </c>
      <c r="L14" s="19">
        <v>25</v>
      </c>
      <c r="M14" s="19">
        <v>109</v>
      </c>
      <c r="N14" s="19"/>
      <c r="O14" s="20"/>
      <c r="Q14" s="15" t="s">
        <v>28</v>
      </c>
      <c r="R14" s="16" t="s">
        <v>24</v>
      </c>
      <c r="S14" s="16"/>
      <c r="T14" s="16"/>
      <c r="U14" s="16"/>
      <c r="V14" s="16"/>
      <c r="W14" s="16"/>
      <c r="X14" s="16"/>
      <c r="Y14" s="16"/>
      <c r="Z14" s="13"/>
      <c r="AA14" s="16" t="s">
        <v>25</v>
      </c>
      <c r="AB14" s="16"/>
      <c r="AC14" s="16"/>
      <c r="AD14" s="16"/>
      <c r="AE14" s="16"/>
      <c r="AF14" s="16"/>
      <c r="AG14" s="16"/>
      <c r="AH14" s="17"/>
      <c r="AJ14" s="15" t="s">
        <v>29</v>
      </c>
      <c r="AK14" s="16" t="s">
        <v>24</v>
      </c>
      <c r="AL14" s="16"/>
      <c r="AM14" s="16"/>
      <c r="AN14" s="16"/>
      <c r="AO14" s="16"/>
      <c r="AP14" s="16"/>
      <c r="AQ14" s="16"/>
      <c r="AR14" s="16"/>
      <c r="AS14" s="13"/>
      <c r="AT14" s="16" t="s">
        <v>25</v>
      </c>
      <c r="AU14" s="16"/>
      <c r="AV14" s="16"/>
      <c r="AW14" s="16"/>
      <c r="AX14" s="16"/>
      <c r="AY14" s="16"/>
      <c r="AZ14" s="16"/>
      <c r="BA14" s="17"/>
    </row>
    <row r="15" spans="2:53" x14ac:dyDescent="0.25">
      <c r="B15" s="18"/>
      <c r="C15" s="4" t="s">
        <v>17</v>
      </c>
      <c r="D15" s="19" t="s">
        <v>40</v>
      </c>
      <c r="E15" s="19" t="s">
        <v>40</v>
      </c>
      <c r="F15" s="19" t="s">
        <v>40</v>
      </c>
      <c r="G15" s="19" t="s">
        <v>40</v>
      </c>
      <c r="H15" s="19">
        <v>31</v>
      </c>
      <c r="I15" s="19">
        <v>60</v>
      </c>
      <c r="J15" s="19">
        <v>369</v>
      </c>
      <c r="K15" s="19">
        <v>53</v>
      </c>
      <c r="L15" s="19">
        <v>77</v>
      </c>
      <c r="M15" s="19">
        <v>892</v>
      </c>
      <c r="N15" s="19"/>
      <c r="O15" s="20"/>
      <c r="Q15" s="21"/>
      <c r="R15" s="22">
        <v>0</v>
      </c>
      <c r="S15" s="22">
        <v>1</v>
      </c>
      <c r="T15" s="22">
        <v>2</v>
      </c>
      <c r="U15" s="22">
        <v>3</v>
      </c>
      <c r="V15" s="22">
        <v>4</v>
      </c>
      <c r="W15" s="22">
        <v>5</v>
      </c>
      <c r="X15" s="22">
        <v>6</v>
      </c>
      <c r="Y15" s="22">
        <v>7</v>
      </c>
      <c r="Z15" s="22"/>
      <c r="AA15" s="22">
        <v>77</v>
      </c>
      <c r="AB15" s="22">
        <v>78</v>
      </c>
      <c r="AC15" s="22">
        <v>2</v>
      </c>
      <c r="AD15" s="22">
        <v>31</v>
      </c>
      <c r="AE15" s="22">
        <v>169</v>
      </c>
      <c r="AF15" s="22">
        <v>43</v>
      </c>
      <c r="AG15" s="22">
        <v>124</v>
      </c>
      <c r="AH15" s="23">
        <v>320</v>
      </c>
      <c r="AJ15" s="21"/>
      <c r="AK15" s="22">
        <v>0</v>
      </c>
      <c r="AL15" s="22">
        <v>1</v>
      </c>
      <c r="AM15" s="22">
        <v>2</v>
      </c>
      <c r="AN15" s="22">
        <v>3</v>
      </c>
      <c r="AO15" s="22">
        <v>4</v>
      </c>
      <c r="AP15" s="22">
        <v>6</v>
      </c>
      <c r="AQ15" s="22">
        <v>7</v>
      </c>
      <c r="AR15" s="22">
        <v>8</v>
      </c>
      <c r="AS15" s="22"/>
      <c r="AT15" s="22">
        <v>48</v>
      </c>
      <c r="AU15" s="22">
        <v>173</v>
      </c>
      <c r="AV15" s="22">
        <v>147</v>
      </c>
      <c r="AW15" s="22">
        <v>171</v>
      </c>
      <c r="AX15" s="22">
        <v>205</v>
      </c>
      <c r="AY15" s="22">
        <v>192</v>
      </c>
      <c r="AZ15" s="22">
        <v>324</v>
      </c>
      <c r="BA15" s="23">
        <v>76</v>
      </c>
    </row>
    <row r="16" spans="2:53" x14ac:dyDescent="0.25">
      <c r="B16" s="18"/>
      <c r="C16" s="4" t="s">
        <v>18</v>
      </c>
      <c r="D16" s="19" t="s">
        <v>40</v>
      </c>
      <c r="E16" s="19" t="s">
        <v>40</v>
      </c>
      <c r="F16" s="19" t="s">
        <v>40</v>
      </c>
      <c r="G16" s="19" t="s">
        <v>40</v>
      </c>
      <c r="H16" s="19">
        <v>21957</v>
      </c>
      <c r="I16" s="19">
        <v>40174</v>
      </c>
      <c r="J16" s="19">
        <v>40003</v>
      </c>
      <c r="K16" s="19">
        <v>35865</v>
      </c>
      <c r="L16" s="19">
        <v>54291</v>
      </c>
      <c r="M16" s="19">
        <v>17115</v>
      </c>
      <c r="N16" s="19"/>
      <c r="O16" s="20"/>
      <c r="Q16" s="21" t="s">
        <v>36</v>
      </c>
      <c r="R16" s="24">
        <v>0</v>
      </c>
      <c r="S16" s="31">
        <v>0</v>
      </c>
      <c r="T16" s="27">
        <v>0</v>
      </c>
      <c r="U16" s="28">
        <v>1</v>
      </c>
      <c r="V16" s="29">
        <v>0</v>
      </c>
      <c r="W16" s="26">
        <v>0</v>
      </c>
      <c r="X16" s="4">
        <v>1</v>
      </c>
      <c r="Y16" s="32">
        <v>0</v>
      </c>
      <c r="Z16" s="4"/>
      <c r="AA16" s="26">
        <v>0</v>
      </c>
      <c r="AB16" s="4">
        <v>1</v>
      </c>
      <c r="AC16" s="32">
        <v>0</v>
      </c>
      <c r="AD16" s="24">
        <v>0</v>
      </c>
      <c r="AE16" s="29">
        <v>0</v>
      </c>
      <c r="AF16" s="27">
        <v>0</v>
      </c>
      <c r="AG16" s="28">
        <v>1</v>
      </c>
      <c r="AH16" s="48">
        <v>0</v>
      </c>
      <c r="AJ16" s="21" t="s">
        <v>70</v>
      </c>
      <c r="AK16" s="24">
        <v>0</v>
      </c>
      <c r="AL16" s="25">
        <v>1</v>
      </c>
      <c r="AM16" s="27">
        <v>1</v>
      </c>
      <c r="AN16" s="28">
        <v>0</v>
      </c>
      <c r="AO16" s="29">
        <v>1</v>
      </c>
      <c r="AP16" s="26">
        <v>0</v>
      </c>
      <c r="AQ16" s="4">
        <v>0</v>
      </c>
      <c r="AR16" s="32">
        <v>0</v>
      </c>
      <c r="AS16" s="4"/>
      <c r="AT16" s="26">
        <v>0</v>
      </c>
      <c r="AU16" s="24">
        <v>0</v>
      </c>
      <c r="AV16" s="27">
        <v>1</v>
      </c>
      <c r="AW16" s="4">
        <v>0</v>
      </c>
      <c r="AX16" s="28">
        <v>0</v>
      </c>
      <c r="AY16" s="25">
        <v>1</v>
      </c>
      <c r="AZ16" s="29">
        <v>1</v>
      </c>
      <c r="BA16" s="49">
        <v>0</v>
      </c>
    </row>
    <row r="17" spans="2:53" x14ac:dyDescent="0.25">
      <c r="B17" s="34"/>
      <c r="C17" s="35" t="s">
        <v>19</v>
      </c>
      <c r="D17" s="36" t="s">
        <v>40</v>
      </c>
      <c r="E17" s="36" t="s">
        <v>40</v>
      </c>
      <c r="F17" s="36" t="s">
        <v>40</v>
      </c>
      <c r="G17" s="36" t="s">
        <v>40</v>
      </c>
      <c r="H17" s="36">
        <v>51423</v>
      </c>
      <c r="I17" s="36">
        <v>111094</v>
      </c>
      <c r="J17" s="36">
        <v>105723</v>
      </c>
      <c r="K17" s="36">
        <v>93205</v>
      </c>
      <c r="L17" s="36">
        <v>141636</v>
      </c>
      <c r="M17" s="36">
        <v>39124</v>
      </c>
      <c r="N17" s="36"/>
      <c r="O17" s="37"/>
      <c r="Q17" s="21" t="s">
        <v>64</v>
      </c>
      <c r="R17" s="24">
        <v>0</v>
      </c>
      <c r="S17" s="31">
        <v>0</v>
      </c>
      <c r="T17" s="27">
        <v>1</v>
      </c>
      <c r="U17" s="28">
        <v>0</v>
      </c>
      <c r="V17" s="29">
        <v>0</v>
      </c>
      <c r="W17" s="26">
        <v>0</v>
      </c>
      <c r="X17" s="4">
        <v>1</v>
      </c>
      <c r="Y17" s="32">
        <v>0</v>
      </c>
      <c r="Z17" s="4"/>
      <c r="AA17" s="26">
        <v>0</v>
      </c>
      <c r="AB17" s="4">
        <v>1</v>
      </c>
      <c r="AC17" s="32">
        <v>0</v>
      </c>
      <c r="AD17" s="24">
        <v>0</v>
      </c>
      <c r="AE17" s="29">
        <v>0</v>
      </c>
      <c r="AF17" s="27">
        <v>1</v>
      </c>
      <c r="AG17" s="28">
        <v>0</v>
      </c>
      <c r="AH17" s="48">
        <v>0</v>
      </c>
      <c r="AJ17" s="21" t="s">
        <v>59</v>
      </c>
      <c r="AK17" s="24">
        <v>0</v>
      </c>
      <c r="AL17" s="25">
        <v>1</v>
      </c>
      <c r="AM17" s="27">
        <v>0</v>
      </c>
      <c r="AN17" s="28">
        <v>0</v>
      </c>
      <c r="AO17" s="29">
        <v>0</v>
      </c>
      <c r="AP17" s="26">
        <v>1</v>
      </c>
      <c r="AQ17" s="4">
        <v>1</v>
      </c>
      <c r="AR17" s="32">
        <v>1</v>
      </c>
      <c r="AS17" s="4"/>
      <c r="AT17" s="26">
        <v>1</v>
      </c>
      <c r="AU17" s="24">
        <v>0</v>
      </c>
      <c r="AV17" s="27">
        <v>0</v>
      </c>
      <c r="AW17" s="4">
        <v>1</v>
      </c>
      <c r="AX17" s="28">
        <v>0</v>
      </c>
      <c r="AY17" s="25">
        <v>1</v>
      </c>
      <c r="AZ17" s="29">
        <v>0</v>
      </c>
      <c r="BA17" s="49">
        <v>1</v>
      </c>
    </row>
    <row r="18" spans="2:53" x14ac:dyDescent="0.25">
      <c r="B18" s="3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Q18" s="21" t="s">
        <v>65</v>
      </c>
      <c r="R18" s="24">
        <v>0</v>
      </c>
      <c r="S18" s="31">
        <v>0</v>
      </c>
      <c r="T18" s="27">
        <v>0</v>
      </c>
      <c r="U18" s="28">
        <v>0</v>
      </c>
      <c r="V18" s="29">
        <v>1</v>
      </c>
      <c r="W18" s="26">
        <v>1</v>
      </c>
      <c r="X18" s="4">
        <v>1</v>
      </c>
      <c r="Y18" s="32">
        <v>0</v>
      </c>
      <c r="Z18" s="4"/>
      <c r="AA18" s="26">
        <v>1</v>
      </c>
      <c r="AB18" s="4">
        <v>1</v>
      </c>
      <c r="AC18" s="32">
        <v>0</v>
      </c>
      <c r="AD18" s="24">
        <v>0</v>
      </c>
      <c r="AE18" s="29">
        <v>1</v>
      </c>
      <c r="AF18" s="27">
        <v>0</v>
      </c>
      <c r="AG18" s="28">
        <v>0</v>
      </c>
      <c r="AH18" s="48">
        <v>0</v>
      </c>
      <c r="AJ18" s="21" t="s">
        <v>71</v>
      </c>
      <c r="AK18" s="24">
        <v>1</v>
      </c>
      <c r="AL18" s="25">
        <v>1</v>
      </c>
      <c r="AM18" s="27">
        <v>1</v>
      </c>
      <c r="AN18" s="28">
        <v>1</v>
      </c>
      <c r="AO18" s="29">
        <v>0</v>
      </c>
      <c r="AP18" s="26">
        <v>1</v>
      </c>
      <c r="AQ18" s="4">
        <v>0</v>
      </c>
      <c r="AR18" s="32">
        <v>1</v>
      </c>
      <c r="AS18" s="4"/>
      <c r="AT18" s="26">
        <v>1</v>
      </c>
      <c r="AU18" s="24">
        <v>1</v>
      </c>
      <c r="AV18" s="27">
        <v>1</v>
      </c>
      <c r="AW18" s="4">
        <v>0</v>
      </c>
      <c r="AX18" s="28">
        <v>1</v>
      </c>
      <c r="AY18" s="25">
        <v>1</v>
      </c>
      <c r="AZ18" s="29">
        <v>0</v>
      </c>
      <c r="BA18" s="49">
        <v>1</v>
      </c>
    </row>
    <row r="19" spans="2:53" x14ac:dyDescent="0.25">
      <c r="B19" s="11" t="s">
        <v>20</v>
      </c>
      <c r="C19" s="12"/>
      <c r="D19" s="13" t="s">
        <v>3</v>
      </c>
      <c r="E19" s="13" t="s">
        <v>4</v>
      </c>
      <c r="F19" s="13" t="s">
        <v>5</v>
      </c>
      <c r="G19" s="13" t="s">
        <v>7</v>
      </c>
      <c r="H19" s="13" t="s">
        <v>26</v>
      </c>
      <c r="I19" s="13" t="s">
        <v>27</v>
      </c>
      <c r="J19" s="13" t="s">
        <v>28</v>
      </c>
      <c r="K19" s="13" t="s">
        <v>29</v>
      </c>
      <c r="L19" s="13" t="s">
        <v>31</v>
      </c>
      <c r="M19" s="13" t="s">
        <v>34</v>
      </c>
      <c r="N19" s="13"/>
      <c r="O19" s="14"/>
      <c r="Q19" s="21" t="s">
        <v>66</v>
      </c>
      <c r="R19" s="24">
        <v>1</v>
      </c>
      <c r="S19" s="31">
        <v>0</v>
      </c>
      <c r="T19" s="27">
        <v>0</v>
      </c>
      <c r="U19" s="28">
        <v>0</v>
      </c>
      <c r="V19" s="29">
        <v>0</v>
      </c>
      <c r="W19" s="26">
        <v>0</v>
      </c>
      <c r="X19" s="4">
        <v>0</v>
      </c>
      <c r="Y19" s="32">
        <v>0</v>
      </c>
      <c r="Z19" s="4"/>
      <c r="AA19" s="26">
        <v>0</v>
      </c>
      <c r="AB19" s="4">
        <v>0</v>
      </c>
      <c r="AC19" s="32">
        <v>0</v>
      </c>
      <c r="AD19" s="24">
        <v>1</v>
      </c>
      <c r="AE19" s="29">
        <v>0</v>
      </c>
      <c r="AF19" s="27">
        <v>0</v>
      </c>
      <c r="AG19" s="28">
        <v>0</v>
      </c>
      <c r="AH19" s="48">
        <v>0</v>
      </c>
      <c r="AJ19" s="21" t="s">
        <v>60</v>
      </c>
      <c r="AK19" s="24">
        <v>0</v>
      </c>
      <c r="AL19" s="25">
        <v>0</v>
      </c>
      <c r="AM19" s="27">
        <v>0</v>
      </c>
      <c r="AN19" s="28">
        <v>1</v>
      </c>
      <c r="AO19" s="29">
        <v>1</v>
      </c>
      <c r="AP19" s="26">
        <v>1</v>
      </c>
      <c r="AQ19" s="4">
        <v>1</v>
      </c>
      <c r="AR19" s="32">
        <v>0</v>
      </c>
      <c r="AS19" s="4"/>
      <c r="AT19" s="26">
        <v>1</v>
      </c>
      <c r="AU19" s="24">
        <v>0</v>
      </c>
      <c r="AV19" s="27">
        <v>0</v>
      </c>
      <c r="AW19" s="4">
        <v>1</v>
      </c>
      <c r="AX19" s="28">
        <v>1</v>
      </c>
      <c r="AY19" s="25">
        <v>0</v>
      </c>
      <c r="AZ19" s="29">
        <v>1</v>
      </c>
      <c r="BA19" s="49">
        <v>0</v>
      </c>
    </row>
    <row r="20" spans="2:53" ht="15" customHeight="1" x14ac:dyDescent="0.25">
      <c r="B20" s="18" t="s">
        <v>21</v>
      </c>
      <c r="C20" s="4" t="s">
        <v>42</v>
      </c>
      <c r="D20" s="50">
        <f t="shared" ref="D20:G20" si="0">D3/SUM(D3:D5)</f>
        <v>0.98748194511314391</v>
      </c>
      <c r="E20" s="50">
        <f t="shared" si="0"/>
        <v>0.98791317217562902</v>
      </c>
      <c r="F20" s="50">
        <f t="shared" si="0"/>
        <v>0.98847358997314239</v>
      </c>
      <c r="G20" s="50">
        <f t="shared" si="0"/>
        <v>0.98933566961723207</v>
      </c>
      <c r="H20" s="50">
        <f t="shared" ref="H20:K20" si="1">H3/SUM(H3:H5)</f>
        <v>0.9902670326927876</v>
      </c>
      <c r="I20" s="50">
        <f t="shared" si="1"/>
        <v>0.98389152856646189</v>
      </c>
      <c r="J20" s="50">
        <f t="shared" si="1"/>
        <v>0.9886739027843322</v>
      </c>
      <c r="K20" s="50">
        <f t="shared" si="1"/>
        <v>0.97811331209308772</v>
      </c>
      <c r="L20" s="50">
        <f>L3/SUM(L3:L5)</f>
        <v>0.97806492781367149</v>
      </c>
      <c r="M20" s="50">
        <f>M3/SUM(M3:M5)</f>
        <v>0.89514742826920535</v>
      </c>
      <c r="N20" s="50"/>
      <c r="O20" s="51"/>
      <c r="Q20" s="21" t="s">
        <v>55</v>
      </c>
      <c r="R20" s="24">
        <v>1</v>
      </c>
      <c r="S20" s="31">
        <v>0</v>
      </c>
      <c r="T20" s="27">
        <v>0</v>
      </c>
      <c r="U20" s="28">
        <v>0</v>
      </c>
      <c r="V20" s="29">
        <v>0</v>
      </c>
      <c r="W20" s="26">
        <v>0</v>
      </c>
      <c r="X20" s="4">
        <v>1</v>
      </c>
      <c r="Y20" s="32">
        <v>1</v>
      </c>
      <c r="Z20" s="4"/>
      <c r="AA20" s="26">
        <v>0</v>
      </c>
      <c r="AB20" s="4">
        <v>1</v>
      </c>
      <c r="AC20" s="32">
        <v>1</v>
      </c>
      <c r="AD20" s="24">
        <v>1</v>
      </c>
      <c r="AE20" s="29">
        <v>0</v>
      </c>
      <c r="AF20" s="27">
        <v>0</v>
      </c>
      <c r="AG20" s="28">
        <v>0</v>
      </c>
      <c r="AH20" s="48">
        <v>0</v>
      </c>
      <c r="AJ20" s="21" t="s">
        <v>35</v>
      </c>
      <c r="AK20" s="24">
        <v>1</v>
      </c>
      <c r="AL20" s="25">
        <v>1</v>
      </c>
      <c r="AM20" s="27">
        <v>0</v>
      </c>
      <c r="AN20" s="28">
        <v>0</v>
      </c>
      <c r="AO20" s="29">
        <v>0</v>
      </c>
      <c r="AP20" s="26">
        <v>1</v>
      </c>
      <c r="AQ20" s="4">
        <v>0</v>
      </c>
      <c r="AR20" s="32">
        <v>0</v>
      </c>
      <c r="AS20" s="4"/>
      <c r="AT20" s="26">
        <v>1</v>
      </c>
      <c r="AU20" s="24">
        <v>1</v>
      </c>
      <c r="AV20" s="27">
        <v>0</v>
      </c>
      <c r="AW20" s="4">
        <v>0</v>
      </c>
      <c r="AX20" s="28">
        <v>0</v>
      </c>
      <c r="AY20" s="25">
        <v>1</v>
      </c>
      <c r="AZ20" s="29">
        <v>0</v>
      </c>
      <c r="BA20" s="49">
        <v>0</v>
      </c>
    </row>
    <row r="21" spans="2:53" x14ac:dyDescent="0.25">
      <c r="B21" s="18"/>
      <c r="C21" s="4" t="s">
        <v>43</v>
      </c>
      <c r="D21" s="50">
        <f t="shared" ref="D21:G21" si="2">SUM(D4:D5)/SUM(D3:D5)</f>
        <v>1.2518054886856042E-2</v>
      </c>
      <c r="E21" s="50">
        <f t="shared" si="2"/>
        <v>1.2086827824370991E-2</v>
      </c>
      <c r="F21" s="50">
        <f t="shared" si="2"/>
        <v>1.1526410026857654E-2</v>
      </c>
      <c r="G21" s="50">
        <f t="shared" si="2"/>
        <v>1.0664330382767892E-2</v>
      </c>
      <c r="H21" s="50">
        <f t="shared" ref="H21:K21" si="3">SUM(H4:H5)/SUM(H3:H5)</f>
        <v>9.7329673072123792E-3</v>
      </c>
      <c r="I21" s="50">
        <f t="shared" si="3"/>
        <v>1.6108471433538069E-2</v>
      </c>
      <c r="J21" s="50">
        <f t="shared" si="3"/>
        <v>1.1326097215667769E-2</v>
      </c>
      <c r="K21" s="50">
        <f t="shared" si="3"/>
        <v>2.1886687906912314E-2</v>
      </c>
      <c r="L21" s="50">
        <f>SUM(L4:L5)/SUM(L3:L5)</f>
        <v>2.1935072186328466E-2</v>
      </c>
      <c r="M21" s="50">
        <f>SUM(M4:M5)/SUM(M3:M5)</f>
        <v>0.10485257173079465</v>
      </c>
      <c r="N21" s="50"/>
      <c r="O21" s="51"/>
      <c r="Q21" s="21" t="s">
        <v>62</v>
      </c>
      <c r="R21" s="24">
        <v>0</v>
      </c>
      <c r="S21" s="31">
        <v>0</v>
      </c>
      <c r="T21" s="27">
        <v>1</v>
      </c>
      <c r="U21" s="28">
        <v>0</v>
      </c>
      <c r="V21" s="29">
        <v>1</v>
      </c>
      <c r="W21" s="26">
        <v>1</v>
      </c>
      <c r="X21" s="4">
        <v>0</v>
      </c>
      <c r="Y21" s="32">
        <v>1</v>
      </c>
      <c r="Z21" s="4"/>
      <c r="AA21" s="26">
        <v>1</v>
      </c>
      <c r="AB21" s="4">
        <v>0</v>
      </c>
      <c r="AC21" s="32">
        <v>1</v>
      </c>
      <c r="AD21" s="24">
        <v>0</v>
      </c>
      <c r="AE21" s="29">
        <v>1</v>
      </c>
      <c r="AF21" s="27">
        <v>1</v>
      </c>
      <c r="AG21" s="28">
        <v>0</v>
      </c>
      <c r="AH21" s="48">
        <v>0</v>
      </c>
      <c r="AJ21" s="21" t="s">
        <v>46</v>
      </c>
      <c r="AK21" s="24">
        <v>0</v>
      </c>
      <c r="AL21" s="25">
        <v>1</v>
      </c>
      <c r="AM21" s="27">
        <v>0</v>
      </c>
      <c r="AN21" s="28">
        <v>1</v>
      </c>
      <c r="AO21" s="29">
        <v>1</v>
      </c>
      <c r="AP21" s="26">
        <v>1</v>
      </c>
      <c r="AQ21" s="4">
        <v>0</v>
      </c>
      <c r="AR21" s="32">
        <v>0</v>
      </c>
      <c r="AS21" s="4"/>
      <c r="AT21" s="26">
        <v>1</v>
      </c>
      <c r="AU21" s="24">
        <v>0</v>
      </c>
      <c r="AV21" s="27">
        <v>0</v>
      </c>
      <c r="AW21" s="4">
        <v>0</v>
      </c>
      <c r="AX21" s="28">
        <v>1</v>
      </c>
      <c r="AY21" s="25">
        <v>1</v>
      </c>
      <c r="AZ21" s="29">
        <v>1</v>
      </c>
      <c r="BA21" s="49">
        <v>0</v>
      </c>
    </row>
    <row r="22" spans="2:53" x14ac:dyDescent="0.25">
      <c r="B22" s="18"/>
      <c r="C22" s="4" t="s">
        <v>44</v>
      </c>
      <c r="D22" s="52">
        <f t="shared" ref="D22:G22" si="4">SUM(D6:D7)/SUM(D3:D7)</f>
        <v>0.94507906288011001</v>
      </c>
      <c r="E22" s="52">
        <f t="shared" si="4"/>
        <v>0.95712094769686396</v>
      </c>
      <c r="F22" s="52">
        <f t="shared" si="4"/>
        <v>0.96455656036807869</v>
      </c>
      <c r="G22" s="52">
        <f t="shared" si="4"/>
        <v>0.97811822412607752</v>
      </c>
      <c r="H22" s="52">
        <f t="shared" ref="H22:K22" si="5">SUM(H6:H7)/SUM(H3:H7)</f>
        <v>0.93208819890514039</v>
      </c>
      <c r="I22" s="52">
        <f t="shared" si="5"/>
        <v>0.92877013116729812</v>
      </c>
      <c r="J22" s="52">
        <f t="shared" si="5"/>
        <v>0.92710134083305384</v>
      </c>
      <c r="K22" s="52">
        <f t="shared" si="5"/>
        <v>0.93152932695955692</v>
      </c>
      <c r="L22" s="52">
        <f>SUM(L6:L7)/SUM(L3:L7)</f>
        <v>0.91891157694571468</v>
      </c>
      <c r="M22" s="52">
        <f>SUM(M6:M7)/SUM(M3:M7)</f>
        <v>0.77689278286649854</v>
      </c>
      <c r="N22" s="52"/>
      <c r="O22" s="53"/>
      <c r="Q22" s="21" t="s">
        <v>67</v>
      </c>
      <c r="R22" s="24">
        <v>0</v>
      </c>
      <c r="S22" s="31">
        <v>1</v>
      </c>
      <c r="T22" s="27">
        <v>0</v>
      </c>
      <c r="U22" s="28">
        <v>0</v>
      </c>
      <c r="V22" s="29">
        <v>0</v>
      </c>
      <c r="W22" s="26">
        <v>1</v>
      </c>
      <c r="X22" s="4">
        <v>1</v>
      </c>
      <c r="Y22" s="32">
        <v>1</v>
      </c>
      <c r="Z22" s="4"/>
      <c r="AA22" s="26">
        <v>1</v>
      </c>
      <c r="AB22" s="4">
        <v>1</v>
      </c>
      <c r="AC22" s="32">
        <v>1</v>
      </c>
      <c r="AD22" s="24">
        <v>0</v>
      </c>
      <c r="AE22" s="29">
        <v>0</v>
      </c>
      <c r="AF22" s="27">
        <v>0</v>
      </c>
      <c r="AG22" s="28">
        <v>0</v>
      </c>
      <c r="AH22" s="48">
        <v>1</v>
      </c>
      <c r="AJ22" s="21" t="s">
        <v>77</v>
      </c>
      <c r="AK22" s="24">
        <v>1</v>
      </c>
      <c r="AL22" s="25">
        <v>0</v>
      </c>
      <c r="AM22" s="27">
        <v>0</v>
      </c>
      <c r="AN22" s="28">
        <v>1</v>
      </c>
      <c r="AO22" s="29">
        <v>0</v>
      </c>
      <c r="AP22" s="26">
        <v>0</v>
      </c>
      <c r="AQ22" s="4">
        <v>0</v>
      </c>
      <c r="AR22" s="32">
        <v>0</v>
      </c>
      <c r="AS22" s="4"/>
      <c r="AT22" s="26">
        <v>0</v>
      </c>
      <c r="AU22" s="24">
        <v>1</v>
      </c>
      <c r="AV22" s="27">
        <v>0</v>
      </c>
      <c r="AW22" s="4">
        <v>0</v>
      </c>
      <c r="AX22" s="28">
        <v>1</v>
      </c>
      <c r="AY22" s="25">
        <v>0</v>
      </c>
      <c r="AZ22" s="29">
        <v>0</v>
      </c>
      <c r="BA22" s="49">
        <v>0</v>
      </c>
    </row>
    <row r="23" spans="2:53" x14ac:dyDescent="0.25">
      <c r="B23" s="18"/>
      <c r="C23" s="4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  <c r="Q23" s="38" t="s">
        <v>68</v>
      </c>
      <c r="R23" s="39">
        <v>0</v>
      </c>
      <c r="S23" s="40">
        <v>1</v>
      </c>
      <c r="T23" s="41">
        <v>0</v>
      </c>
      <c r="U23" s="42">
        <v>0</v>
      </c>
      <c r="V23" s="43">
        <v>1</v>
      </c>
      <c r="W23" s="44">
        <v>0</v>
      </c>
      <c r="X23" s="35">
        <v>1</v>
      </c>
      <c r="Y23" s="46">
        <v>0</v>
      </c>
      <c r="Z23" s="35"/>
      <c r="AA23" s="44">
        <v>0</v>
      </c>
      <c r="AB23" s="35">
        <v>1</v>
      </c>
      <c r="AC23" s="46">
        <v>0</v>
      </c>
      <c r="AD23" s="39">
        <v>0</v>
      </c>
      <c r="AE23" s="43">
        <v>1</v>
      </c>
      <c r="AF23" s="41">
        <v>0</v>
      </c>
      <c r="AG23" s="42">
        <v>0</v>
      </c>
      <c r="AH23" s="54">
        <v>1</v>
      </c>
      <c r="AJ23" s="38" t="s">
        <v>61</v>
      </c>
      <c r="AK23" s="39">
        <v>0</v>
      </c>
      <c r="AL23" s="55">
        <v>1</v>
      </c>
      <c r="AM23" s="41">
        <v>1</v>
      </c>
      <c r="AN23" s="42">
        <v>0</v>
      </c>
      <c r="AO23" s="43">
        <v>1</v>
      </c>
      <c r="AP23" s="44">
        <v>0</v>
      </c>
      <c r="AQ23" s="35">
        <v>0</v>
      </c>
      <c r="AR23" s="46">
        <v>1</v>
      </c>
      <c r="AS23" s="35"/>
      <c r="AT23" s="44">
        <v>0</v>
      </c>
      <c r="AU23" s="39">
        <v>0</v>
      </c>
      <c r="AV23" s="41">
        <v>1</v>
      </c>
      <c r="AW23" s="35">
        <v>0</v>
      </c>
      <c r="AX23" s="42">
        <v>0</v>
      </c>
      <c r="AY23" s="55">
        <v>1</v>
      </c>
      <c r="AZ23" s="43">
        <v>1</v>
      </c>
      <c r="BA23" s="56">
        <v>1</v>
      </c>
    </row>
    <row r="24" spans="2:53" x14ac:dyDescent="0.25">
      <c r="B24" s="34"/>
      <c r="C24" s="35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8"/>
    </row>
    <row r="25" spans="2:53" ht="15" customHeight="1" x14ac:dyDescent="0.25">
      <c r="B25" s="18" t="s">
        <v>22</v>
      </c>
      <c r="C25" s="4" t="s">
        <v>42</v>
      </c>
      <c r="D25" s="50" t="s">
        <v>40</v>
      </c>
      <c r="E25" s="50" t="s">
        <v>40</v>
      </c>
      <c r="F25" s="50" t="s">
        <v>40</v>
      </c>
      <c r="G25" s="50" t="s">
        <v>40</v>
      </c>
      <c r="H25" s="50">
        <f t="shared" ref="H25:K25" si="6">H8/SUM(H8:H10)</f>
        <v>0.74183006535947715</v>
      </c>
      <c r="I25" s="50">
        <f t="shared" si="6"/>
        <v>0.73322597960279123</v>
      </c>
      <c r="J25" s="50">
        <f t="shared" si="6"/>
        <v>0.73900946021146352</v>
      </c>
      <c r="K25" s="50">
        <f t="shared" si="6"/>
        <v>0.69698910954516335</v>
      </c>
      <c r="L25" s="50">
        <f>L8/SUM(L8:L10)</f>
        <v>0.97785606441872164</v>
      </c>
      <c r="M25" s="50" t="s">
        <v>40</v>
      </c>
      <c r="N25" s="50"/>
      <c r="O25" s="51"/>
    </row>
    <row r="26" spans="2:53" x14ac:dyDescent="0.25">
      <c r="B26" s="18"/>
      <c r="C26" s="4" t="s">
        <v>43</v>
      </c>
      <c r="D26" s="50" t="s">
        <v>40</v>
      </c>
      <c r="E26" s="50" t="s">
        <v>40</v>
      </c>
      <c r="F26" s="50" t="s">
        <v>40</v>
      </c>
      <c r="G26" s="50" t="s">
        <v>40</v>
      </c>
      <c r="H26" s="50">
        <f t="shared" ref="H26:K26" si="7">SUM(H9:H10)/SUM(H8:H10)</f>
        <v>0.2581699346405229</v>
      </c>
      <c r="I26" s="50">
        <f t="shared" si="7"/>
        <v>0.26677402039720882</v>
      </c>
      <c r="J26" s="50">
        <f t="shared" si="7"/>
        <v>0.26099053978853642</v>
      </c>
      <c r="K26" s="50">
        <f t="shared" si="7"/>
        <v>0.30301089045483665</v>
      </c>
      <c r="L26" s="50">
        <f>SUM(L9:L10)/SUM(L8:L10)</f>
        <v>2.214393558127831E-2</v>
      </c>
      <c r="M26" s="50" t="s">
        <v>40</v>
      </c>
      <c r="N26" s="50"/>
      <c r="O26" s="51"/>
      <c r="Q26" s="15" t="s">
        <v>7</v>
      </c>
      <c r="R26" s="16" t="s">
        <v>24</v>
      </c>
      <c r="S26" s="16"/>
      <c r="T26" s="16"/>
      <c r="U26" s="16"/>
      <c r="V26" s="16"/>
      <c r="W26" s="16"/>
      <c r="X26" s="16"/>
      <c r="Y26" s="16"/>
      <c r="Z26" s="13"/>
      <c r="AA26" s="16" t="s">
        <v>25</v>
      </c>
      <c r="AB26" s="16"/>
      <c r="AC26" s="16"/>
      <c r="AD26" s="16"/>
      <c r="AE26" s="16"/>
      <c r="AF26" s="16"/>
      <c r="AG26" s="16"/>
      <c r="AH26" s="17"/>
      <c r="AJ26" s="15" t="s">
        <v>31</v>
      </c>
      <c r="AK26" s="16" t="s">
        <v>24</v>
      </c>
      <c r="AL26" s="16"/>
      <c r="AM26" s="16"/>
      <c r="AN26" s="16"/>
      <c r="AO26" s="16"/>
      <c r="AP26" s="16"/>
      <c r="AQ26" s="16"/>
      <c r="AR26" s="16"/>
      <c r="AS26" s="13"/>
      <c r="AT26" s="16" t="s">
        <v>25</v>
      </c>
      <c r="AU26" s="16"/>
      <c r="AV26" s="16"/>
      <c r="AW26" s="16"/>
      <c r="AX26" s="16"/>
      <c r="AY26" s="16"/>
      <c r="AZ26" s="16"/>
      <c r="BA26" s="17"/>
    </row>
    <row r="27" spans="2:53" x14ac:dyDescent="0.25">
      <c r="B27" s="18"/>
      <c r="C27" s="4" t="s">
        <v>44</v>
      </c>
      <c r="D27" s="52" t="s">
        <v>40</v>
      </c>
      <c r="E27" s="52" t="s">
        <v>40</v>
      </c>
      <c r="F27" s="52" t="s">
        <v>40</v>
      </c>
      <c r="G27" s="52" t="s">
        <v>40</v>
      </c>
      <c r="H27" s="52">
        <f t="shared" ref="H27:K27" si="8">SUM(H11:H12)/SUM(H8:H12)</f>
        <v>0.86195488721804514</v>
      </c>
      <c r="I27" s="52">
        <f t="shared" si="8"/>
        <v>0.84689349112426038</v>
      </c>
      <c r="J27" s="52">
        <f t="shared" si="8"/>
        <v>0.8477118644067797</v>
      </c>
      <c r="K27" s="52">
        <f t="shared" si="8"/>
        <v>0.85809090909090913</v>
      </c>
      <c r="L27" s="52">
        <f>SUM(L11:L12)/SUM(L8:L12)</f>
        <v>0.84530945893343712</v>
      </c>
      <c r="M27" s="52" t="s">
        <v>40</v>
      </c>
      <c r="N27" s="52"/>
      <c r="O27" s="51"/>
      <c r="Q27" s="21"/>
      <c r="R27" s="22">
        <v>0</v>
      </c>
      <c r="S27" s="22">
        <v>2</v>
      </c>
      <c r="T27" s="22">
        <v>3</v>
      </c>
      <c r="U27" s="22">
        <v>4</v>
      </c>
      <c r="V27" s="22">
        <v>5</v>
      </c>
      <c r="W27" s="22">
        <v>6</v>
      </c>
      <c r="X27" s="22">
        <v>7</v>
      </c>
      <c r="Y27" s="22">
        <v>8</v>
      </c>
      <c r="Z27" s="22"/>
      <c r="AA27" s="22"/>
      <c r="AB27" s="22"/>
      <c r="AC27" s="22"/>
      <c r="AD27" s="22"/>
      <c r="AE27" s="22"/>
      <c r="AF27" s="22"/>
      <c r="AG27" s="22"/>
      <c r="AH27" s="23"/>
      <c r="AJ27" s="21"/>
      <c r="AK27" s="22">
        <v>0</v>
      </c>
      <c r="AL27" s="22">
        <v>1</v>
      </c>
      <c r="AM27" s="22">
        <v>2</v>
      </c>
      <c r="AN27" s="22">
        <v>3</v>
      </c>
      <c r="AO27" s="22">
        <v>4</v>
      </c>
      <c r="AP27" s="22">
        <v>5</v>
      </c>
      <c r="AQ27" s="22">
        <v>7</v>
      </c>
      <c r="AR27" s="22"/>
      <c r="AS27" s="22"/>
      <c r="AT27" s="22">
        <v>88</v>
      </c>
      <c r="AU27" s="22">
        <v>176</v>
      </c>
      <c r="AV27" s="22">
        <v>235</v>
      </c>
      <c r="AW27" s="22">
        <v>193</v>
      </c>
      <c r="AX27" s="22">
        <v>265</v>
      </c>
      <c r="AY27" s="22">
        <v>5</v>
      </c>
      <c r="AZ27" s="22">
        <v>39</v>
      </c>
      <c r="BA27" s="23"/>
    </row>
    <row r="28" spans="2:53" x14ac:dyDescent="0.25">
      <c r="B28" s="18"/>
      <c r="C28" s="4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Q28" s="21" t="s">
        <v>87</v>
      </c>
      <c r="R28" s="24">
        <v>0</v>
      </c>
      <c r="S28" s="31">
        <v>1</v>
      </c>
      <c r="T28" s="27">
        <v>0</v>
      </c>
      <c r="U28" s="28">
        <v>0</v>
      </c>
      <c r="V28" s="29">
        <v>0</v>
      </c>
      <c r="W28" s="26">
        <v>0</v>
      </c>
      <c r="X28" s="4">
        <v>0</v>
      </c>
      <c r="Y28" s="32">
        <v>1</v>
      </c>
      <c r="Z28" s="4"/>
      <c r="AA28" s="31">
        <v>1</v>
      </c>
      <c r="AB28" s="24">
        <v>0</v>
      </c>
      <c r="AC28" s="59">
        <v>0</v>
      </c>
      <c r="AD28" s="28">
        <v>0</v>
      </c>
      <c r="AE28" s="32">
        <v>1</v>
      </c>
      <c r="AF28" s="27">
        <v>0</v>
      </c>
      <c r="AG28" s="29">
        <v>0</v>
      </c>
      <c r="AH28" s="60">
        <v>0</v>
      </c>
      <c r="AJ28" s="21" t="s">
        <v>23</v>
      </c>
      <c r="AK28" s="24">
        <v>1</v>
      </c>
      <c r="AL28" s="25">
        <v>0</v>
      </c>
      <c r="AM28" s="27">
        <v>1</v>
      </c>
      <c r="AN28" s="28">
        <v>0</v>
      </c>
      <c r="AO28" s="29">
        <v>0</v>
      </c>
      <c r="AP28" s="26">
        <v>0</v>
      </c>
      <c r="AQ28" s="4">
        <v>0</v>
      </c>
      <c r="AR28" s="4"/>
      <c r="AS28" s="4"/>
      <c r="AT28" s="27">
        <v>1</v>
      </c>
      <c r="AU28" s="4">
        <v>0</v>
      </c>
      <c r="AV28" s="25">
        <v>0</v>
      </c>
      <c r="AW28" s="29">
        <v>0</v>
      </c>
      <c r="AX28" s="26">
        <v>0</v>
      </c>
      <c r="AY28" s="28">
        <v>0</v>
      </c>
      <c r="AZ28" s="24">
        <v>1</v>
      </c>
      <c r="BA28" s="30"/>
    </row>
    <row r="29" spans="2:53" x14ac:dyDescent="0.25">
      <c r="B29" s="34"/>
      <c r="C29" s="35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8"/>
      <c r="Q29" s="21" t="s">
        <v>88</v>
      </c>
      <c r="R29" s="24">
        <v>0</v>
      </c>
      <c r="S29" s="31">
        <v>1</v>
      </c>
      <c r="T29" s="27">
        <v>0</v>
      </c>
      <c r="U29" s="28">
        <v>0</v>
      </c>
      <c r="V29" s="29">
        <v>0</v>
      </c>
      <c r="W29" s="26">
        <v>1</v>
      </c>
      <c r="X29" s="4">
        <v>0</v>
      </c>
      <c r="Y29" s="32">
        <v>0</v>
      </c>
      <c r="Z29" s="4"/>
      <c r="AA29" s="31">
        <v>1</v>
      </c>
      <c r="AB29" s="24">
        <v>0</v>
      </c>
      <c r="AC29" s="59">
        <v>0</v>
      </c>
      <c r="AD29" s="28">
        <v>0</v>
      </c>
      <c r="AE29" s="32">
        <v>0</v>
      </c>
      <c r="AF29" s="27">
        <v>0</v>
      </c>
      <c r="AG29" s="29">
        <v>0</v>
      </c>
      <c r="AH29" s="60">
        <v>1</v>
      </c>
      <c r="AJ29" s="21" t="s">
        <v>78</v>
      </c>
      <c r="AK29" s="24">
        <v>0</v>
      </c>
      <c r="AL29" s="25">
        <v>1</v>
      </c>
      <c r="AM29" s="27">
        <v>0</v>
      </c>
      <c r="AN29" s="28">
        <v>0</v>
      </c>
      <c r="AO29" s="29">
        <v>1</v>
      </c>
      <c r="AP29" s="26">
        <v>0</v>
      </c>
      <c r="AQ29" s="4">
        <v>0</v>
      </c>
      <c r="AR29" s="4"/>
      <c r="AS29" s="4"/>
      <c r="AT29" s="27">
        <v>0</v>
      </c>
      <c r="AU29" s="4">
        <v>0</v>
      </c>
      <c r="AV29" s="25">
        <v>1</v>
      </c>
      <c r="AW29" s="29">
        <v>1</v>
      </c>
      <c r="AX29" s="26">
        <v>0</v>
      </c>
      <c r="AY29" s="28">
        <v>0</v>
      </c>
      <c r="AZ29" s="24">
        <v>0</v>
      </c>
      <c r="BA29" s="30"/>
    </row>
    <row r="30" spans="2:53" ht="15" customHeight="1" x14ac:dyDescent="0.25">
      <c r="B30" s="18" t="s">
        <v>41</v>
      </c>
      <c r="C30" s="4" t="s">
        <v>42</v>
      </c>
      <c r="D30" s="50" t="s">
        <v>40</v>
      </c>
      <c r="E30" s="50" t="s">
        <v>40</v>
      </c>
      <c r="F30" s="50" t="s">
        <v>40</v>
      </c>
      <c r="G30" s="50" t="s">
        <v>40</v>
      </c>
      <c r="H30" s="50">
        <f t="shared" ref="H30:K30" si="9">H13/SUM(H13:H15)</f>
        <v>0.96395412342981979</v>
      </c>
      <c r="I30" s="50">
        <f t="shared" si="9"/>
        <v>0.98337707786526685</v>
      </c>
      <c r="J30" s="50">
        <f t="shared" si="9"/>
        <v>0.90762680488707881</v>
      </c>
      <c r="K30" s="50">
        <f t="shared" si="9"/>
        <v>0.95489234123739442</v>
      </c>
      <c r="L30" s="50">
        <f>L13/SUM(L13:L15)</f>
        <v>0.98286578195867624</v>
      </c>
      <c r="M30" s="50">
        <f>M13/SUM(M13:M15)</f>
        <v>0.91339332064371004</v>
      </c>
      <c r="N30" s="50"/>
      <c r="O30" s="51"/>
      <c r="Q30" s="21" t="s">
        <v>89</v>
      </c>
      <c r="R30" s="24">
        <v>1</v>
      </c>
      <c r="S30" s="31">
        <v>0</v>
      </c>
      <c r="T30" s="27">
        <v>1</v>
      </c>
      <c r="U30" s="28">
        <v>0</v>
      </c>
      <c r="V30" s="29">
        <v>0</v>
      </c>
      <c r="W30" s="26">
        <v>0</v>
      </c>
      <c r="X30" s="4">
        <v>0</v>
      </c>
      <c r="Y30" s="32">
        <v>0</v>
      </c>
      <c r="Z30" s="4"/>
      <c r="AA30" s="31">
        <v>0</v>
      </c>
      <c r="AB30" s="24">
        <v>1</v>
      </c>
      <c r="AC30" s="59">
        <v>0</v>
      </c>
      <c r="AD30" s="28">
        <v>0</v>
      </c>
      <c r="AE30" s="32">
        <v>0</v>
      </c>
      <c r="AF30" s="27">
        <v>1</v>
      </c>
      <c r="AG30" s="29">
        <v>0</v>
      </c>
      <c r="AH30" s="60">
        <v>0</v>
      </c>
      <c r="AJ30" s="21" t="s">
        <v>79</v>
      </c>
      <c r="AK30" s="24">
        <v>1</v>
      </c>
      <c r="AL30" s="25">
        <v>1</v>
      </c>
      <c r="AM30" s="27">
        <v>0</v>
      </c>
      <c r="AN30" s="28">
        <v>1</v>
      </c>
      <c r="AO30" s="29">
        <v>0</v>
      </c>
      <c r="AP30" s="26">
        <v>0</v>
      </c>
      <c r="AQ30" s="4">
        <v>0</v>
      </c>
      <c r="AR30" s="4"/>
      <c r="AS30" s="4"/>
      <c r="AT30" s="27">
        <v>0</v>
      </c>
      <c r="AU30" s="4">
        <v>0</v>
      </c>
      <c r="AV30" s="25">
        <v>1</v>
      </c>
      <c r="AW30" s="29">
        <v>0</v>
      </c>
      <c r="AX30" s="26">
        <v>0</v>
      </c>
      <c r="AY30" s="28">
        <v>1</v>
      </c>
      <c r="AZ30" s="24">
        <v>1</v>
      </c>
      <c r="BA30" s="30"/>
    </row>
    <row r="31" spans="2:53" x14ac:dyDescent="0.25">
      <c r="B31" s="18"/>
      <c r="C31" s="4" t="s">
        <v>43</v>
      </c>
      <c r="D31" s="50" t="s">
        <v>40</v>
      </c>
      <c r="E31" s="50" t="s">
        <v>40</v>
      </c>
      <c r="F31" s="50" t="s">
        <v>40</v>
      </c>
      <c r="G31" s="50" t="s">
        <v>40</v>
      </c>
      <c r="H31" s="50">
        <f t="shared" ref="H31:K31" si="10">SUM(H14:H15)/SUM(H13:H15)</f>
        <v>3.6045876570180227E-2</v>
      </c>
      <c r="I31" s="50">
        <f t="shared" si="10"/>
        <v>1.6622922134733157E-2</v>
      </c>
      <c r="J31" s="50">
        <f t="shared" si="10"/>
        <v>9.2373195112921136E-2</v>
      </c>
      <c r="K31" s="50">
        <f t="shared" si="10"/>
        <v>4.5107658762605612E-2</v>
      </c>
      <c r="L31" s="50">
        <f>SUM(L14:L15)/SUM(L13:L15)</f>
        <v>1.7134218041323701E-2</v>
      </c>
      <c r="M31" s="50">
        <f>SUM(M14:M15)/SUM(M13:M15)</f>
        <v>8.6606679356290017E-2</v>
      </c>
      <c r="N31" s="50"/>
      <c r="O31" s="51"/>
      <c r="Q31" s="21" t="s">
        <v>90</v>
      </c>
      <c r="R31" s="24">
        <v>0</v>
      </c>
      <c r="S31" s="31">
        <v>0</v>
      </c>
      <c r="T31" s="27">
        <v>0</v>
      </c>
      <c r="U31" s="28">
        <v>0</v>
      </c>
      <c r="V31" s="29">
        <v>0</v>
      </c>
      <c r="W31" s="26">
        <v>1</v>
      </c>
      <c r="X31" s="4">
        <v>0</v>
      </c>
      <c r="Y31" s="32">
        <v>1</v>
      </c>
      <c r="Z31" s="4"/>
      <c r="AA31" s="31">
        <v>0</v>
      </c>
      <c r="AB31" s="24">
        <v>0</v>
      </c>
      <c r="AC31" s="59">
        <v>0</v>
      </c>
      <c r="AD31" s="28">
        <v>0</v>
      </c>
      <c r="AE31" s="32">
        <v>1</v>
      </c>
      <c r="AF31" s="27">
        <v>0</v>
      </c>
      <c r="AG31" s="29">
        <v>0</v>
      </c>
      <c r="AH31" s="60">
        <v>1</v>
      </c>
      <c r="AJ31" s="21" t="s">
        <v>63</v>
      </c>
      <c r="AK31" s="24">
        <v>0</v>
      </c>
      <c r="AL31" s="25">
        <v>0</v>
      </c>
      <c r="AM31" s="27">
        <v>0</v>
      </c>
      <c r="AN31" s="28">
        <v>1</v>
      </c>
      <c r="AO31" s="29">
        <v>1</v>
      </c>
      <c r="AP31" s="26">
        <v>0</v>
      </c>
      <c r="AQ31" s="4">
        <v>0</v>
      </c>
      <c r="AR31" s="4"/>
      <c r="AS31" s="4"/>
      <c r="AT31" s="27">
        <v>0</v>
      </c>
      <c r="AU31" s="4">
        <v>0</v>
      </c>
      <c r="AV31" s="25">
        <v>0</v>
      </c>
      <c r="AW31" s="29">
        <v>1</v>
      </c>
      <c r="AX31" s="26">
        <v>0</v>
      </c>
      <c r="AY31" s="28">
        <v>1</v>
      </c>
      <c r="AZ31" s="24">
        <v>0</v>
      </c>
      <c r="BA31" s="30"/>
    </row>
    <row r="32" spans="2:53" x14ac:dyDescent="0.25">
      <c r="B32" s="18"/>
      <c r="C32" s="4" t="s">
        <v>44</v>
      </c>
      <c r="D32" s="52" t="s">
        <v>40</v>
      </c>
      <c r="E32" s="52" t="s">
        <v>40</v>
      </c>
      <c r="F32" s="52" t="s">
        <v>40</v>
      </c>
      <c r="G32" s="52" t="s">
        <v>40</v>
      </c>
      <c r="H32" s="52">
        <f t="shared" ref="H32:K32" si="11">SUM(H16:H17)/SUM(H13:H17)</f>
        <v>0.95246748526777603</v>
      </c>
      <c r="I32" s="52">
        <f t="shared" si="11"/>
        <v>0.97066221765913763</v>
      </c>
      <c r="J32" s="52">
        <f t="shared" si="11"/>
        <v>0.96425546556561326</v>
      </c>
      <c r="K32" s="52">
        <f t="shared" si="11"/>
        <v>0.94620550114362789</v>
      </c>
      <c r="L32" s="52">
        <f>SUM(L16:L17)/SUM(L13:L17)</f>
        <v>0.97051218545670692</v>
      </c>
      <c r="M32" s="52">
        <f>SUM(M16:M17)/SUM(M13:M17)</f>
        <v>0.82952048025723857</v>
      </c>
      <c r="N32" s="52"/>
      <c r="O32" s="53"/>
      <c r="Q32" s="21" t="s">
        <v>91</v>
      </c>
      <c r="R32" s="24">
        <v>0</v>
      </c>
      <c r="S32" s="31">
        <v>0</v>
      </c>
      <c r="T32" s="27">
        <v>0</v>
      </c>
      <c r="U32" s="28">
        <v>0</v>
      </c>
      <c r="V32" s="29">
        <v>0</v>
      </c>
      <c r="W32" s="26">
        <v>0</v>
      </c>
      <c r="X32" s="4">
        <v>1</v>
      </c>
      <c r="Y32" s="32">
        <v>0</v>
      </c>
      <c r="Z32" s="4"/>
      <c r="AA32" s="31">
        <v>0</v>
      </c>
      <c r="AB32" s="24">
        <v>0</v>
      </c>
      <c r="AC32" s="59">
        <v>1</v>
      </c>
      <c r="AD32" s="28">
        <v>0</v>
      </c>
      <c r="AE32" s="32">
        <v>0</v>
      </c>
      <c r="AF32" s="27">
        <v>0</v>
      </c>
      <c r="AG32" s="29">
        <v>0</v>
      </c>
      <c r="AH32" s="60">
        <v>0</v>
      </c>
      <c r="AJ32" s="21" t="s">
        <v>80</v>
      </c>
      <c r="AK32" s="24">
        <v>0</v>
      </c>
      <c r="AL32" s="25">
        <v>0</v>
      </c>
      <c r="AM32" s="27">
        <v>0</v>
      </c>
      <c r="AN32" s="28">
        <v>1</v>
      </c>
      <c r="AO32" s="29">
        <v>0</v>
      </c>
      <c r="AP32" s="26">
        <v>1</v>
      </c>
      <c r="AQ32" s="4">
        <v>1</v>
      </c>
      <c r="AR32" s="4"/>
      <c r="AS32" s="4"/>
      <c r="AT32" s="27">
        <v>0</v>
      </c>
      <c r="AU32" s="4">
        <v>1</v>
      </c>
      <c r="AV32" s="25">
        <v>0</v>
      </c>
      <c r="AW32" s="29">
        <v>0</v>
      </c>
      <c r="AX32" s="26">
        <v>1</v>
      </c>
      <c r="AY32" s="28">
        <v>1</v>
      </c>
      <c r="AZ32" s="24">
        <v>0</v>
      </c>
      <c r="BA32" s="30"/>
    </row>
    <row r="33" spans="2:53" x14ac:dyDescent="0.25">
      <c r="B33" s="18"/>
      <c r="C33" s="4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3"/>
      <c r="Q33" s="21" t="s">
        <v>92</v>
      </c>
      <c r="R33" s="24">
        <v>0</v>
      </c>
      <c r="S33" s="31">
        <v>0</v>
      </c>
      <c r="T33" s="27">
        <v>0</v>
      </c>
      <c r="U33" s="28">
        <v>1</v>
      </c>
      <c r="V33" s="29">
        <v>1</v>
      </c>
      <c r="W33" s="26">
        <v>0</v>
      </c>
      <c r="X33" s="4">
        <v>0</v>
      </c>
      <c r="Y33" s="32">
        <v>0</v>
      </c>
      <c r="Z33" s="4"/>
      <c r="AA33" s="31">
        <v>0</v>
      </c>
      <c r="AB33" s="24">
        <v>0</v>
      </c>
      <c r="AC33" s="59">
        <v>0</v>
      </c>
      <c r="AD33" s="28">
        <v>1</v>
      </c>
      <c r="AE33" s="32">
        <v>0</v>
      </c>
      <c r="AF33" s="27">
        <v>0</v>
      </c>
      <c r="AG33" s="29">
        <v>1</v>
      </c>
      <c r="AH33" s="60">
        <v>0</v>
      </c>
      <c r="AJ33" s="21" t="s">
        <v>81</v>
      </c>
      <c r="AK33" s="24">
        <v>1</v>
      </c>
      <c r="AL33" s="25">
        <v>1</v>
      </c>
      <c r="AM33" s="27">
        <v>0</v>
      </c>
      <c r="AN33" s="28">
        <v>0</v>
      </c>
      <c r="AO33" s="29">
        <v>0</v>
      </c>
      <c r="AP33" s="26">
        <v>1</v>
      </c>
      <c r="AQ33" s="4">
        <v>0</v>
      </c>
      <c r="AR33" s="4"/>
      <c r="AS33" s="4"/>
      <c r="AT33" s="27">
        <v>0</v>
      </c>
      <c r="AU33" s="4">
        <v>0</v>
      </c>
      <c r="AV33" s="25">
        <v>1</v>
      </c>
      <c r="AW33" s="29">
        <v>0</v>
      </c>
      <c r="AX33" s="26">
        <v>1</v>
      </c>
      <c r="AY33" s="28">
        <v>0</v>
      </c>
      <c r="AZ33" s="24">
        <v>1</v>
      </c>
      <c r="BA33" s="30"/>
    </row>
    <row r="34" spans="2:53" x14ac:dyDescent="0.25">
      <c r="B34" s="34"/>
      <c r="C34" s="35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8"/>
      <c r="Q34" s="21" t="s">
        <v>93</v>
      </c>
      <c r="R34" s="24">
        <v>0</v>
      </c>
      <c r="S34" s="31">
        <v>0</v>
      </c>
      <c r="T34" s="27">
        <v>0</v>
      </c>
      <c r="U34" s="28">
        <v>0</v>
      </c>
      <c r="V34" s="29">
        <v>1</v>
      </c>
      <c r="W34" s="26">
        <v>0</v>
      </c>
      <c r="X34" s="4">
        <v>0</v>
      </c>
      <c r="Y34" s="32">
        <v>0</v>
      </c>
      <c r="Z34" s="4"/>
      <c r="AA34" s="31">
        <v>0</v>
      </c>
      <c r="AB34" s="24">
        <v>0</v>
      </c>
      <c r="AC34" s="59">
        <v>0</v>
      </c>
      <c r="AD34" s="28">
        <v>0</v>
      </c>
      <c r="AE34" s="32">
        <v>0</v>
      </c>
      <c r="AF34" s="27">
        <v>0</v>
      </c>
      <c r="AG34" s="29">
        <v>1</v>
      </c>
      <c r="AH34" s="60">
        <v>0</v>
      </c>
      <c r="AJ34" s="21" t="s">
        <v>82</v>
      </c>
      <c r="AK34" s="24">
        <v>0</v>
      </c>
      <c r="AL34" s="25">
        <v>0</v>
      </c>
      <c r="AM34" s="27">
        <v>0</v>
      </c>
      <c r="AN34" s="28">
        <v>0</v>
      </c>
      <c r="AO34" s="29">
        <v>1</v>
      </c>
      <c r="AP34" s="26">
        <v>0</v>
      </c>
      <c r="AQ34" s="4">
        <v>1</v>
      </c>
      <c r="AR34" s="4"/>
      <c r="AS34" s="4"/>
      <c r="AT34" s="27">
        <v>0</v>
      </c>
      <c r="AU34" s="4">
        <v>1</v>
      </c>
      <c r="AV34" s="25">
        <v>0</v>
      </c>
      <c r="AW34" s="29">
        <v>1</v>
      </c>
      <c r="AX34" s="26">
        <v>0</v>
      </c>
      <c r="AY34" s="28">
        <v>0</v>
      </c>
      <c r="AZ34" s="24">
        <v>0</v>
      </c>
      <c r="BA34" s="30"/>
    </row>
    <row r="35" spans="2:53" x14ac:dyDescent="0.25">
      <c r="H35" s="2"/>
      <c r="I35" s="2"/>
      <c r="J35" s="2"/>
      <c r="K35" s="2"/>
      <c r="L35" s="2"/>
      <c r="M35" s="2"/>
      <c r="N35" s="2"/>
      <c r="O35" s="2"/>
      <c r="Q35" s="38" t="s">
        <v>94</v>
      </c>
      <c r="R35" s="39">
        <v>0</v>
      </c>
      <c r="S35" s="40">
        <v>0</v>
      </c>
      <c r="T35" s="41">
        <v>1</v>
      </c>
      <c r="U35" s="42">
        <v>0</v>
      </c>
      <c r="V35" s="43">
        <v>0</v>
      </c>
      <c r="W35" s="44">
        <v>0</v>
      </c>
      <c r="X35" s="35">
        <v>0</v>
      </c>
      <c r="Y35" s="46">
        <v>0</v>
      </c>
      <c r="Z35" s="35"/>
      <c r="AA35" s="40">
        <v>0</v>
      </c>
      <c r="AB35" s="39">
        <v>0</v>
      </c>
      <c r="AC35" s="61">
        <v>0</v>
      </c>
      <c r="AD35" s="42">
        <v>0</v>
      </c>
      <c r="AE35" s="46">
        <v>0</v>
      </c>
      <c r="AF35" s="41">
        <v>1</v>
      </c>
      <c r="AG35" s="43">
        <v>0</v>
      </c>
      <c r="AH35" s="62">
        <v>0</v>
      </c>
      <c r="AJ35" s="38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63"/>
    </row>
    <row r="36" spans="2:53" x14ac:dyDescent="0.25">
      <c r="C36" s="15" t="s">
        <v>34</v>
      </c>
      <c r="D36" s="16" t="s">
        <v>24</v>
      </c>
      <c r="E36" s="16"/>
      <c r="F36" s="16"/>
      <c r="G36" s="13"/>
      <c r="H36" s="16" t="s">
        <v>0</v>
      </c>
      <c r="I36" s="16"/>
      <c r="J36" s="16"/>
      <c r="K36" s="64"/>
      <c r="M36" s="19"/>
    </row>
    <row r="37" spans="2:53" x14ac:dyDescent="0.25">
      <c r="C37" s="21"/>
      <c r="D37" s="22">
        <v>1</v>
      </c>
      <c r="E37" s="22">
        <v>2</v>
      </c>
      <c r="F37" s="22">
        <v>3</v>
      </c>
      <c r="G37" s="22"/>
      <c r="H37" s="22">
        <v>1159</v>
      </c>
      <c r="I37" s="22">
        <v>1276</v>
      </c>
      <c r="J37" s="22">
        <v>1369</v>
      </c>
      <c r="K37" s="23"/>
    </row>
    <row r="38" spans="2:53" x14ac:dyDescent="0.25">
      <c r="C38" s="21" t="s">
        <v>37</v>
      </c>
      <c r="D38" s="25">
        <v>0</v>
      </c>
      <c r="E38" s="24">
        <v>0</v>
      </c>
      <c r="F38" s="27">
        <v>1</v>
      </c>
      <c r="G38" s="4"/>
      <c r="H38" s="25">
        <v>0</v>
      </c>
      <c r="I38" s="27">
        <v>1</v>
      </c>
      <c r="J38" s="24">
        <v>0</v>
      </c>
      <c r="K38" s="30"/>
    </row>
    <row r="39" spans="2:53" x14ac:dyDescent="0.25">
      <c r="C39" s="21" t="s">
        <v>38</v>
      </c>
      <c r="D39" s="25">
        <v>0</v>
      </c>
      <c r="E39" s="24">
        <v>1</v>
      </c>
      <c r="F39" s="27">
        <v>0</v>
      </c>
      <c r="G39" s="4"/>
      <c r="H39" s="25">
        <v>0</v>
      </c>
      <c r="I39" s="27">
        <v>0</v>
      </c>
      <c r="J39" s="24">
        <v>1</v>
      </c>
      <c r="K39" s="30"/>
    </row>
    <row r="40" spans="2:53" x14ac:dyDescent="0.25">
      <c r="C40" s="21" t="s">
        <v>39</v>
      </c>
      <c r="D40" s="25">
        <v>1</v>
      </c>
      <c r="E40" s="24">
        <v>0</v>
      </c>
      <c r="F40" s="27">
        <v>0</v>
      </c>
      <c r="G40" s="4"/>
      <c r="H40" s="25">
        <v>1</v>
      </c>
      <c r="I40" s="27">
        <v>0</v>
      </c>
      <c r="J40" s="24">
        <v>0</v>
      </c>
      <c r="K40" s="30"/>
    </row>
    <row r="41" spans="2:53" x14ac:dyDescent="0.25">
      <c r="C41" s="38"/>
      <c r="D41" s="35"/>
      <c r="E41" s="35"/>
      <c r="F41" s="35"/>
      <c r="G41" s="35"/>
      <c r="H41" s="35"/>
      <c r="I41" s="35"/>
      <c r="J41" s="35"/>
      <c r="K41" s="63"/>
    </row>
    <row r="44" spans="2:53" x14ac:dyDescent="0.25">
      <c r="C44" s="15" t="s">
        <v>3</v>
      </c>
      <c r="D44" s="16" t="s">
        <v>24</v>
      </c>
      <c r="E44" s="16"/>
      <c r="F44" s="16"/>
      <c r="G44" s="13"/>
      <c r="H44" s="16" t="s">
        <v>0</v>
      </c>
      <c r="I44" s="16"/>
      <c r="J44" s="16"/>
      <c r="K44" s="64"/>
    </row>
    <row r="45" spans="2:53" x14ac:dyDescent="0.25">
      <c r="C45" s="21"/>
      <c r="D45" s="22">
        <v>1</v>
      </c>
      <c r="E45" s="22">
        <v>2</v>
      </c>
      <c r="F45" s="22"/>
      <c r="G45" s="22"/>
      <c r="H45" s="22">
        <v>1043</v>
      </c>
      <c r="I45" s="22">
        <v>1249</v>
      </c>
      <c r="J45" s="22"/>
      <c r="K45" s="23"/>
    </row>
    <row r="46" spans="2:53" x14ac:dyDescent="0.25">
      <c r="C46" s="21" t="s">
        <v>83</v>
      </c>
      <c r="D46" s="24">
        <v>0</v>
      </c>
      <c r="E46" s="25">
        <v>1</v>
      </c>
      <c r="F46" s="27"/>
      <c r="G46" s="4"/>
      <c r="H46" s="25">
        <v>1</v>
      </c>
      <c r="I46" s="24">
        <v>0</v>
      </c>
      <c r="J46" s="25"/>
      <c r="K46" s="30"/>
    </row>
    <row r="47" spans="2:53" x14ac:dyDescent="0.25">
      <c r="C47" s="21" t="s">
        <v>84</v>
      </c>
      <c r="D47" s="24">
        <v>1</v>
      </c>
      <c r="E47" s="25">
        <v>0</v>
      </c>
      <c r="F47" s="27"/>
      <c r="G47" s="4"/>
      <c r="H47" s="25">
        <v>0</v>
      </c>
      <c r="I47" s="24">
        <v>1</v>
      </c>
      <c r="J47" s="25"/>
      <c r="K47" s="30"/>
    </row>
    <row r="48" spans="2:53" x14ac:dyDescent="0.25">
      <c r="C48" s="21"/>
      <c r="D48" s="24"/>
      <c r="E48" s="25"/>
      <c r="F48" s="27"/>
      <c r="G48" s="4"/>
      <c r="H48" s="27"/>
      <c r="I48" s="24"/>
      <c r="J48" s="25"/>
      <c r="K48" s="30"/>
    </row>
    <row r="49" spans="3:11" x14ac:dyDescent="0.25">
      <c r="C49" s="38"/>
      <c r="D49" s="35"/>
      <c r="E49" s="35"/>
      <c r="F49" s="35"/>
      <c r="G49" s="35"/>
      <c r="H49" s="35"/>
      <c r="I49" s="35"/>
      <c r="J49" s="35"/>
      <c r="K49" s="63"/>
    </row>
    <row r="52" spans="3:11" x14ac:dyDescent="0.25">
      <c r="C52" s="15" t="s">
        <v>4</v>
      </c>
      <c r="D52" s="16" t="s">
        <v>24</v>
      </c>
      <c r="E52" s="16"/>
      <c r="F52" s="16"/>
      <c r="G52" s="13"/>
      <c r="H52" s="16" t="s">
        <v>0</v>
      </c>
      <c r="I52" s="16"/>
      <c r="J52" s="16"/>
      <c r="K52" s="64"/>
    </row>
    <row r="53" spans="3:11" x14ac:dyDescent="0.25">
      <c r="C53" s="21"/>
      <c r="D53" s="22">
        <v>0</v>
      </c>
      <c r="E53" s="22">
        <v>1</v>
      </c>
      <c r="F53" s="22">
        <v>2</v>
      </c>
      <c r="G53" s="22"/>
      <c r="H53" s="22">
        <v>1043</v>
      </c>
      <c r="I53" s="22">
        <v>1249</v>
      </c>
      <c r="J53" s="22">
        <v>1511</v>
      </c>
      <c r="K53" s="23"/>
    </row>
    <row r="54" spans="3:11" x14ac:dyDescent="0.25">
      <c r="C54" s="21" t="s">
        <v>85</v>
      </c>
      <c r="D54" s="24">
        <v>0</v>
      </c>
      <c r="E54" s="25">
        <v>0</v>
      </c>
      <c r="F54" s="27">
        <v>1</v>
      </c>
      <c r="G54" s="4"/>
      <c r="H54" s="25">
        <v>0</v>
      </c>
      <c r="I54" s="24">
        <v>0</v>
      </c>
      <c r="J54" s="27">
        <v>1</v>
      </c>
      <c r="K54" s="30"/>
    </row>
    <row r="55" spans="3:11" x14ac:dyDescent="0.25">
      <c r="C55" s="21" t="s">
        <v>83</v>
      </c>
      <c r="D55" s="24">
        <v>1</v>
      </c>
      <c r="E55" s="25">
        <v>0</v>
      </c>
      <c r="F55" s="27">
        <v>0</v>
      </c>
      <c r="G55" s="4"/>
      <c r="H55" s="25">
        <v>0</v>
      </c>
      <c r="I55" s="24">
        <v>1</v>
      </c>
      <c r="J55" s="27">
        <v>0</v>
      </c>
      <c r="K55" s="30"/>
    </row>
    <row r="56" spans="3:11" x14ac:dyDescent="0.25">
      <c r="C56" s="21" t="s">
        <v>86</v>
      </c>
      <c r="D56" s="24">
        <v>0</v>
      </c>
      <c r="E56" s="25">
        <v>1</v>
      </c>
      <c r="F56" s="27">
        <v>0</v>
      </c>
      <c r="G56" s="4"/>
      <c r="H56" s="25">
        <v>1</v>
      </c>
      <c r="I56" s="24">
        <v>0</v>
      </c>
      <c r="J56" s="27">
        <v>0</v>
      </c>
      <c r="K56" s="30"/>
    </row>
    <row r="57" spans="3:11" x14ac:dyDescent="0.25">
      <c r="C57" s="38"/>
      <c r="D57" s="35"/>
      <c r="E57" s="35"/>
      <c r="F57" s="35"/>
      <c r="G57" s="35"/>
      <c r="H57" s="35"/>
      <c r="I57" s="35"/>
      <c r="J57" s="35"/>
      <c r="K57" s="63"/>
    </row>
    <row r="60" spans="3:11" x14ac:dyDescent="0.25">
      <c r="C60" s="15" t="s">
        <v>5</v>
      </c>
      <c r="D60" s="16" t="s">
        <v>24</v>
      </c>
      <c r="E60" s="16"/>
      <c r="F60" s="16"/>
      <c r="G60" s="13"/>
      <c r="H60" s="16" t="s">
        <v>0</v>
      </c>
      <c r="I60" s="16"/>
      <c r="J60" s="16"/>
      <c r="K60" s="64"/>
    </row>
    <row r="61" spans="3:11" x14ac:dyDescent="0.25">
      <c r="C61" s="21"/>
      <c r="D61" s="22">
        <v>0</v>
      </c>
      <c r="E61" s="22">
        <v>1</v>
      </c>
      <c r="F61" s="22">
        <v>2</v>
      </c>
      <c r="G61" s="22">
        <v>4</v>
      </c>
      <c r="H61" s="22">
        <v>1043</v>
      </c>
      <c r="I61" s="22">
        <v>1249</v>
      </c>
      <c r="J61" s="22">
        <v>1511</v>
      </c>
      <c r="K61" s="23">
        <v>1493</v>
      </c>
    </row>
    <row r="62" spans="3:11" x14ac:dyDescent="0.25">
      <c r="C62" s="21" t="s">
        <v>96</v>
      </c>
      <c r="D62" s="24">
        <v>0</v>
      </c>
      <c r="E62" s="25">
        <v>0</v>
      </c>
      <c r="F62" s="27">
        <v>0</v>
      </c>
      <c r="G62" s="4">
        <v>1</v>
      </c>
      <c r="H62" s="25">
        <v>0</v>
      </c>
      <c r="I62" s="27">
        <v>0</v>
      </c>
      <c r="J62" s="24">
        <v>0</v>
      </c>
      <c r="K62" s="65">
        <v>1</v>
      </c>
    </row>
    <row r="63" spans="3:11" x14ac:dyDescent="0.25">
      <c r="C63" s="21" t="s">
        <v>85</v>
      </c>
      <c r="D63" s="24">
        <v>1</v>
      </c>
      <c r="E63" s="25">
        <v>0</v>
      </c>
      <c r="F63" s="27">
        <v>0</v>
      </c>
      <c r="G63" s="4">
        <v>0</v>
      </c>
      <c r="H63" s="25">
        <v>0</v>
      </c>
      <c r="I63" s="27">
        <v>0</v>
      </c>
      <c r="J63" s="24">
        <v>1</v>
      </c>
      <c r="K63" s="65">
        <v>0</v>
      </c>
    </row>
    <row r="64" spans="3:11" x14ac:dyDescent="0.25">
      <c r="C64" s="21" t="s">
        <v>97</v>
      </c>
      <c r="D64" s="24">
        <v>0</v>
      </c>
      <c r="E64" s="25">
        <v>0</v>
      </c>
      <c r="F64" s="27">
        <v>1</v>
      </c>
      <c r="G64" s="4">
        <v>0</v>
      </c>
      <c r="H64" s="25">
        <v>0</v>
      </c>
      <c r="I64" s="27">
        <v>1</v>
      </c>
      <c r="J64" s="24">
        <v>0</v>
      </c>
      <c r="K64" s="65">
        <v>0</v>
      </c>
    </row>
    <row r="65" spans="3:11" x14ac:dyDescent="0.25">
      <c r="C65" s="38" t="s">
        <v>98</v>
      </c>
      <c r="D65" s="39">
        <v>0</v>
      </c>
      <c r="E65" s="55">
        <v>1</v>
      </c>
      <c r="F65" s="41">
        <v>0</v>
      </c>
      <c r="G65" s="35">
        <v>0</v>
      </c>
      <c r="H65" s="55">
        <v>1</v>
      </c>
      <c r="I65" s="41">
        <v>0</v>
      </c>
      <c r="J65" s="39">
        <v>0</v>
      </c>
      <c r="K65" s="63">
        <v>0</v>
      </c>
    </row>
  </sheetData>
  <mergeCells count="28">
    <mergeCell ref="D60:F60"/>
    <mergeCell ref="H60:J60"/>
    <mergeCell ref="H44:J44"/>
    <mergeCell ref="D52:F52"/>
    <mergeCell ref="H52:J52"/>
    <mergeCell ref="B3:B7"/>
    <mergeCell ref="B2:C2"/>
    <mergeCell ref="B8:B12"/>
    <mergeCell ref="B13:B17"/>
    <mergeCell ref="D44:F44"/>
    <mergeCell ref="D36:F36"/>
    <mergeCell ref="B19:C19"/>
    <mergeCell ref="B20:B24"/>
    <mergeCell ref="B25:B29"/>
    <mergeCell ref="B30:B34"/>
    <mergeCell ref="R2:Y2"/>
    <mergeCell ref="AA2:AH2"/>
    <mergeCell ref="AK2:AR2"/>
    <mergeCell ref="AT2:BA2"/>
    <mergeCell ref="R14:Y14"/>
    <mergeCell ref="AA14:AH14"/>
    <mergeCell ref="AK14:AR14"/>
    <mergeCell ref="AT14:BA14"/>
    <mergeCell ref="H36:J36"/>
    <mergeCell ref="AK26:AR26"/>
    <mergeCell ref="AT26:BA26"/>
    <mergeCell ref="R26:Y26"/>
    <mergeCell ref="AA26:AH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TPR_FDR</vt:lpstr>
      <vt:lpstr>Supplementary</vt:lpstr>
    </vt:vector>
  </TitlesOfParts>
  <Company>IMB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Xu</dc:creator>
  <cp:lastModifiedBy>Jun Xu</cp:lastModifiedBy>
  <cp:lastPrinted>2019-05-04T00:01:53Z</cp:lastPrinted>
  <dcterms:created xsi:type="dcterms:W3CDTF">2019-03-12T04:40:34Z</dcterms:created>
  <dcterms:modified xsi:type="dcterms:W3CDTF">2019-05-08T23:34:32Z</dcterms:modified>
</cp:coreProperties>
</file>