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ah\OneDrive - University of Alaska\Spring_2022\FISH_621\"/>
    </mc:Choice>
  </mc:AlternateContent>
  <bookViews>
    <workbookView xWindow="0" yWindow="0" windowWidth="16170" windowHeight="6060"/>
  </bookViews>
  <sheets>
    <sheet name="Comple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H36" i="1"/>
  <c r="C33" i="1"/>
  <c r="H35" i="1"/>
  <c r="H34" i="1"/>
  <c r="F35" i="1"/>
  <c r="F36" i="1"/>
  <c r="F37" i="1"/>
  <c r="F34" i="1"/>
  <c r="E37" i="1"/>
  <c r="E36" i="1"/>
  <c r="E35" i="1"/>
  <c r="E34" i="1"/>
  <c r="D34" i="1"/>
  <c r="D35" i="1"/>
  <c r="D36" i="1"/>
  <c r="D37" i="1"/>
  <c r="D33" i="1"/>
  <c r="B35" i="1"/>
  <c r="B36" i="1"/>
  <c r="B37" i="1"/>
  <c r="B34" i="1"/>
  <c r="C35" i="1"/>
  <c r="C36" i="1"/>
  <c r="C37" i="1"/>
  <c r="C34" i="1"/>
  <c r="G34" i="1"/>
  <c r="N28" i="1"/>
  <c r="N25" i="1"/>
  <c r="M26" i="1"/>
  <c r="N26" i="1" s="1"/>
  <c r="M27" i="1"/>
  <c r="O27" i="1" s="1"/>
  <c r="M28" i="1"/>
  <c r="O28" i="1" s="1"/>
  <c r="M25" i="1"/>
  <c r="O25" i="1" s="1"/>
  <c r="L25" i="1"/>
  <c r="L26" i="1"/>
  <c r="L27" i="1"/>
  <c r="L28" i="1"/>
  <c r="L24" i="1"/>
  <c r="K26" i="1"/>
  <c r="I26" i="1"/>
  <c r="H26" i="1"/>
  <c r="J26" i="1" s="1"/>
  <c r="H27" i="1"/>
  <c r="K27" i="1" s="1"/>
  <c r="H28" i="1"/>
  <c r="K28" i="1" s="1"/>
  <c r="H25" i="1"/>
  <c r="G25" i="1"/>
  <c r="G26" i="1"/>
  <c r="G27" i="1"/>
  <c r="G28" i="1"/>
  <c r="G29" i="1"/>
  <c r="G24" i="1"/>
  <c r="I15" i="1"/>
  <c r="G17" i="1"/>
  <c r="G18" i="1" s="1"/>
  <c r="E17" i="1"/>
  <c r="F16" i="1"/>
  <c r="F17" i="1" s="1"/>
  <c r="G16" i="1"/>
  <c r="E16" i="1"/>
  <c r="D16" i="1"/>
  <c r="I6" i="1"/>
  <c r="I7" i="1"/>
  <c r="I8" i="1"/>
  <c r="I9" i="1"/>
  <c r="I5" i="1"/>
  <c r="C11" i="1"/>
  <c r="D11" i="1"/>
  <c r="E11" i="1"/>
  <c r="F11" i="1"/>
  <c r="G11" i="1"/>
  <c r="B11" i="1"/>
  <c r="G19" i="1" l="1"/>
  <c r="I18" i="1"/>
  <c r="F18" i="1"/>
  <c r="I17" i="1"/>
  <c r="J25" i="1"/>
  <c r="O26" i="1"/>
  <c r="J28" i="1"/>
  <c r="N27" i="1"/>
  <c r="G35" i="1"/>
  <c r="I16" i="1"/>
  <c r="I25" i="1"/>
  <c r="K25" i="1"/>
  <c r="G33" i="1"/>
  <c r="J27" i="1"/>
  <c r="I28" i="1"/>
  <c r="I27" i="1"/>
</calcChain>
</file>

<file path=xl/sharedStrings.xml><?xml version="1.0" encoding="utf-8"?>
<sst xmlns="http://schemas.openxmlformats.org/spreadsheetml/2006/main" count="37" uniqueCount="34">
  <si>
    <t>Jolly-Seber estimates: Large-mouth bass at Par Pond (Hightower and Gilbert 1984)</t>
  </si>
  <si>
    <t>h</t>
  </si>
  <si>
    <t>i: 1</t>
  </si>
  <si>
    <t>m</t>
  </si>
  <si>
    <t>c {hi} Matrix</t>
  </si>
  <si>
    <t>m {hi} Matrix</t>
  </si>
  <si>
    <t>z {h+1}</t>
  </si>
  <si>
    <t>r {h}</t>
  </si>
  <si>
    <t>Summary Statistics</t>
  </si>
  <si>
    <t>i</t>
  </si>
  <si>
    <t>n</t>
  </si>
  <si>
    <t>R</t>
  </si>
  <si>
    <t>r</t>
  </si>
  <si>
    <t>z</t>
  </si>
  <si>
    <t>rho</t>
  </si>
  <si>
    <t>M*</t>
  </si>
  <si>
    <t>U*</t>
  </si>
  <si>
    <t>M*-m</t>
  </si>
  <si>
    <t>M*-m+R</t>
  </si>
  <si>
    <t>1/r-1/R</t>
  </si>
  <si>
    <t>M^</t>
  </si>
  <si>
    <t>M^-m</t>
  </si>
  <si>
    <t>M^-m+R</t>
  </si>
  <si>
    <t>Data</t>
  </si>
  <si>
    <t>Derived Parameters</t>
  </si>
  <si>
    <t>Population Estimates</t>
  </si>
  <si>
    <t>m {i}</t>
  </si>
  <si>
    <t>N*</t>
  </si>
  <si>
    <t>N*-n</t>
  </si>
  <si>
    <r>
      <t>SE(</t>
    </r>
    <r>
      <rPr>
        <b/>
        <i/>
        <sz val="12"/>
        <rFont val="Times New Roman"/>
        <family val="1"/>
      </rPr>
      <t>N</t>
    </r>
    <r>
      <rPr>
        <b/>
        <sz val="12"/>
        <rFont val="Times New Roman"/>
        <family val="1"/>
      </rPr>
      <t>*)</t>
    </r>
  </si>
  <si>
    <r>
      <t>CV(</t>
    </r>
    <r>
      <rPr>
        <b/>
        <i/>
        <sz val="12"/>
        <rFont val="Times New Roman"/>
        <family val="1"/>
      </rPr>
      <t>N</t>
    </r>
    <r>
      <rPr>
        <b/>
        <sz val="12"/>
        <rFont val="Times New Roman"/>
        <family val="1"/>
      </rPr>
      <t>*)</t>
    </r>
  </si>
  <si>
    <r>
      <t>f</t>
    </r>
    <r>
      <rPr>
        <b/>
        <sz val="12"/>
        <rFont val="Times New Roman"/>
        <family val="1"/>
      </rPr>
      <t>*</t>
    </r>
  </si>
  <si>
    <r>
      <t>B</t>
    </r>
    <r>
      <rPr>
        <b/>
        <sz val="12"/>
        <rFont val="Times New Roman"/>
        <family val="1"/>
      </rPr>
      <t>*</t>
    </r>
  </si>
  <si>
    <t>M*+U*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</si>
</sst>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i/>
      <sz val="12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</cellStyleXfs>
  <cellXfs count="19">
    <xf numFmtId="0" fontId="0" fillId="0" borderId="0" xfId="0"/>
    <xf numFmtId="0" fontId="6" fillId="0" borderId="0" xfId="0" applyFont="1"/>
    <xf numFmtId="0" fontId="2" fillId="2" borderId="0" xfId="1"/>
    <xf numFmtId="0" fontId="0" fillId="6" borderId="2" xfId="5" applyFont="1"/>
    <xf numFmtId="0" fontId="5" fillId="5" borderId="1" xfId="4"/>
    <xf numFmtId="0" fontId="4" fillId="4" borderId="2" xfId="3" applyBorder="1"/>
    <xf numFmtId="0" fontId="4" fillId="4" borderId="0" xfId="3"/>
    <xf numFmtId="0" fontId="3" fillId="3" borderId="0" xfId="2"/>
    <xf numFmtId="0" fontId="3" fillId="3" borderId="2" xfId="2" applyBorder="1"/>
    <xf numFmtId="1" fontId="0" fillId="0" borderId="0" xfId="0" applyNumberFormat="1"/>
    <xf numFmtId="0" fontId="7" fillId="0" borderId="0" xfId="0" applyFont="1" applyAlignment="1" applyProtection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8" fillId="0" borderId="0" xfId="0" applyFont="1" applyAlignment="1">
      <alignment horizontal="center"/>
    </xf>
    <xf numFmtId="164" fontId="0" fillId="6" borderId="2" xfId="5" applyNumberFormat="1" applyFont="1"/>
    <xf numFmtId="1" fontId="0" fillId="6" borderId="2" xfId="5" applyNumberFormat="1" applyFont="1"/>
    <xf numFmtId="9" fontId="0" fillId="6" borderId="2" xfId="5" applyNumberFormat="1" applyFont="1"/>
    <xf numFmtId="165" fontId="0" fillId="6" borderId="2" xfId="5" applyNumberFormat="1" applyFont="1"/>
  </cellXfs>
  <cellStyles count="6">
    <cellStyle name="Bad" xfId="2" builtinId="27"/>
    <cellStyle name="Good" xfId="1" builtinId="26"/>
    <cellStyle name="Input" xfId="4" builtinId="20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787400</xdr:colOff>
      <xdr:row>9</xdr:row>
      <xdr:rowOff>139700</xdr:rowOff>
    </xdr:from>
    <xdr:to>
      <xdr:col>11</xdr:col>
      <xdr:colOff>431800</xdr:colOff>
      <xdr:row>17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601C30-8A7D-EF4B-A18D-026885DB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8500" y="1968500"/>
          <a:ext cx="1803400" cy="158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G36" sqref="G36"/>
    </sheetView>
  </sheetViews>
  <sheetFormatPr defaultColWidth="11" defaultRowHeight="15.75" x14ac:dyDescent="0.25"/>
  <cols>
    <col min="1" max="1" width="12.125" customWidth="1"/>
    <col min="8" max="8" width="10.5" customWidth="1"/>
    <col min="9" max="9" width="10.125" customWidth="1"/>
    <col min="10" max="10" width="17.5" bestFit="1" customWidth="1"/>
  </cols>
  <sheetData>
    <row r="1" spans="1:19" x14ac:dyDescent="0.25">
      <c r="A1" s="1" t="s">
        <v>0</v>
      </c>
      <c r="J1" s="2" t="s">
        <v>23</v>
      </c>
    </row>
    <row r="2" spans="1:19" x14ac:dyDescent="0.25">
      <c r="J2" s="3" t="s">
        <v>24</v>
      </c>
    </row>
    <row r="3" spans="1:19" x14ac:dyDescent="0.25">
      <c r="A3" s="1" t="s">
        <v>5</v>
      </c>
      <c r="O3">
        <v>3</v>
      </c>
      <c r="P3">
        <v>6</v>
      </c>
      <c r="Q3">
        <v>14</v>
      </c>
      <c r="R3">
        <v>77</v>
      </c>
      <c r="S3">
        <v>62</v>
      </c>
    </row>
    <row r="4" spans="1:19" x14ac:dyDescent="0.25">
      <c r="A4" s="1" t="s">
        <v>1</v>
      </c>
      <c r="B4" s="1" t="s">
        <v>2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/>
      <c r="I4" s="1" t="s">
        <v>7</v>
      </c>
    </row>
    <row r="5" spans="1:19" x14ac:dyDescent="0.25">
      <c r="A5" s="1">
        <v>1</v>
      </c>
      <c r="B5" s="2">
        <v>0</v>
      </c>
      <c r="C5" s="2">
        <v>3</v>
      </c>
      <c r="D5" s="2">
        <v>4</v>
      </c>
      <c r="E5" s="2">
        <v>3</v>
      </c>
      <c r="F5" s="2">
        <v>13</v>
      </c>
      <c r="G5" s="2">
        <v>5</v>
      </c>
      <c r="I5" s="4">
        <f>SUM(B5:G5)</f>
        <v>28</v>
      </c>
    </row>
    <row r="6" spans="1:19" x14ac:dyDescent="0.25">
      <c r="A6" s="1">
        <v>2</v>
      </c>
      <c r="B6" s="2">
        <v>0</v>
      </c>
      <c r="C6" s="2">
        <v>0</v>
      </c>
      <c r="D6" s="2">
        <v>2</v>
      </c>
      <c r="E6" s="2">
        <v>4</v>
      </c>
      <c r="F6" s="2">
        <v>4</v>
      </c>
      <c r="G6" s="2">
        <v>7</v>
      </c>
      <c r="I6" s="4">
        <f t="shared" ref="I6:I9" si="0">SUM(B6:G6)</f>
        <v>17</v>
      </c>
    </row>
    <row r="7" spans="1:19" x14ac:dyDescent="0.25">
      <c r="A7" s="1">
        <v>3</v>
      </c>
      <c r="B7" s="2">
        <v>0</v>
      </c>
      <c r="C7" s="2">
        <v>0</v>
      </c>
      <c r="D7" s="2">
        <v>0</v>
      </c>
      <c r="E7" s="2">
        <v>7</v>
      </c>
      <c r="F7" s="2">
        <v>23</v>
      </c>
      <c r="G7" s="2">
        <v>7</v>
      </c>
      <c r="I7" s="4">
        <f t="shared" si="0"/>
        <v>37</v>
      </c>
    </row>
    <row r="8" spans="1:19" x14ac:dyDescent="0.25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37</v>
      </c>
      <c r="G8" s="2">
        <v>11</v>
      </c>
      <c r="I8" s="4">
        <f t="shared" si="0"/>
        <v>48</v>
      </c>
    </row>
    <row r="9" spans="1:19" x14ac:dyDescent="0.25">
      <c r="A9" s="1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32</v>
      </c>
      <c r="I9" s="4">
        <f t="shared" si="0"/>
        <v>32</v>
      </c>
    </row>
    <row r="11" spans="1:19" x14ac:dyDescent="0.25">
      <c r="A11" t="s">
        <v>26</v>
      </c>
      <c r="B11" s="8">
        <f>SUM(B5:B9)</f>
        <v>0</v>
      </c>
      <c r="C11" s="8">
        <f t="shared" ref="C11:G11" si="1">SUM(C5:C9)</f>
        <v>3</v>
      </c>
      <c r="D11" s="8">
        <f t="shared" si="1"/>
        <v>6</v>
      </c>
      <c r="E11" s="8">
        <f t="shared" si="1"/>
        <v>14</v>
      </c>
      <c r="F11" s="8">
        <f t="shared" si="1"/>
        <v>77</v>
      </c>
      <c r="G11" s="8">
        <f t="shared" si="1"/>
        <v>62</v>
      </c>
    </row>
    <row r="13" spans="1:19" x14ac:dyDescent="0.25">
      <c r="A13" s="1" t="s">
        <v>4</v>
      </c>
    </row>
    <row r="14" spans="1:19" x14ac:dyDescent="0.25">
      <c r="A14" s="1" t="s">
        <v>1</v>
      </c>
      <c r="B14" s="1" t="s">
        <v>2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/>
      <c r="I14" s="1" t="s">
        <v>6</v>
      </c>
    </row>
    <row r="15" spans="1:19" x14ac:dyDescent="0.25">
      <c r="A15" s="1">
        <v>1</v>
      </c>
      <c r="B15" s="3"/>
      <c r="C15" s="3">
        <v>3</v>
      </c>
      <c r="D15" s="3">
        <v>4</v>
      </c>
      <c r="E15" s="3">
        <v>3</v>
      </c>
      <c r="F15" s="3">
        <v>13</v>
      </c>
      <c r="G15" s="3">
        <v>5</v>
      </c>
      <c r="I15" s="5">
        <f>SUM(D15:G15)</f>
        <v>25</v>
      </c>
    </row>
    <row r="16" spans="1:19" x14ac:dyDescent="0.25">
      <c r="A16" s="1">
        <v>2</v>
      </c>
      <c r="B16" s="3"/>
      <c r="C16" s="3"/>
      <c r="D16" s="3">
        <f>SUM(D15,D6)</f>
        <v>6</v>
      </c>
      <c r="E16" s="3">
        <f>SUM(E15,E6)</f>
        <v>7</v>
      </c>
      <c r="F16" s="3">
        <f>SUM(F15,F6)</f>
        <v>17</v>
      </c>
      <c r="G16" s="3">
        <f>SUM(G15,G6)</f>
        <v>12</v>
      </c>
      <c r="I16" s="5">
        <f>SUM(E16:G16)</f>
        <v>36</v>
      </c>
    </row>
    <row r="17" spans="1:15" x14ac:dyDescent="0.25">
      <c r="A17" s="1">
        <v>3</v>
      </c>
      <c r="B17" s="3"/>
      <c r="C17" s="3"/>
      <c r="D17" s="3"/>
      <c r="E17" s="3">
        <f>SUM(E16,E7)</f>
        <v>14</v>
      </c>
      <c r="F17" s="3">
        <f t="shared" ref="F17:G17" si="2">SUM(F16,F7)</f>
        <v>40</v>
      </c>
      <c r="G17" s="3">
        <f t="shared" si="2"/>
        <v>19</v>
      </c>
      <c r="I17" s="5">
        <f>SUM(F17:G17)</f>
        <v>59</v>
      </c>
    </row>
    <row r="18" spans="1:15" x14ac:dyDescent="0.25">
      <c r="A18" s="1">
        <v>4</v>
      </c>
      <c r="B18" s="3"/>
      <c r="C18" s="3"/>
      <c r="D18" s="3"/>
      <c r="E18" s="3"/>
      <c r="F18" s="3">
        <f>SUM(F17,F8)</f>
        <v>77</v>
      </c>
      <c r="G18" s="3">
        <f>SUM(G17,G8)</f>
        <v>30</v>
      </c>
      <c r="I18" s="5">
        <f>SUM(G18)</f>
        <v>30</v>
      </c>
    </row>
    <row r="19" spans="1:15" x14ac:dyDescent="0.25">
      <c r="A19" s="1">
        <v>5</v>
      </c>
      <c r="B19" s="3"/>
      <c r="C19" s="3"/>
      <c r="D19" s="3"/>
      <c r="E19" s="3"/>
      <c r="F19" s="3"/>
      <c r="G19" s="3">
        <f>SUM(G18,G9)</f>
        <v>62</v>
      </c>
    </row>
    <row r="22" spans="1:15" x14ac:dyDescent="0.25">
      <c r="A22" s="1" t="s">
        <v>8</v>
      </c>
    </row>
    <row r="23" spans="1:15" s="1" customFormat="1" x14ac:dyDescent="0.25">
      <c r="A23" s="1" t="s">
        <v>9</v>
      </c>
      <c r="B23" s="1" t="s">
        <v>10</v>
      </c>
      <c r="C23" s="1" t="s">
        <v>11</v>
      </c>
      <c r="D23" s="1" t="s">
        <v>3</v>
      </c>
      <c r="E23" s="1" t="s">
        <v>12</v>
      </c>
      <c r="F23" s="1" t="s">
        <v>13</v>
      </c>
      <c r="G23" s="1" t="s">
        <v>14</v>
      </c>
      <c r="H23" s="1" t="s">
        <v>15</v>
      </c>
      <c r="I23" s="1" t="s">
        <v>16</v>
      </c>
      <c r="J23" s="1" t="s">
        <v>17</v>
      </c>
      <c r="K23" s="1" t="s">
        <v>18</v>
      </c>
      <c r="L23" s="1" t="s">
        <v>19</v>
      </c>
      <c r="M23" s="1" t="s">
        <v>20</v>
      </c>
      <c r="N23" s="1" t="s">
        <v>21</v>
      </c>
      <c r="O23" s="1" t="s">
        <v>22</v>
      </c>
    </row>
    <row r="24" spans="1:15" x14ac:dyDescent="0.25">
      <c r="A24" s="1">
        <v>1</v>
      </c>
      <c r="B24" s="2">
        <v>1015</v>
      </c>
      <c r="C24" s="2">
        <v>1015</v>
      </c>
      <c r="D24" s="7">
        <v>0</v>
      </c>
      <c r="E24" s="4">
        <v>28</v>
      </c>
      <c r="G24" s="15">
        <f>D24/B24</f>
        <v>0</v>
      </c>
      <c r="H24" s="9"/>
      <c r="J24" s="9"/>
      <c r="K24" s="9"/>
      <c r="L24" s="15">
        <f>(1/E24)-(1/C24)</f>
        <v>3.4729064039408862E-2</v>
      </c>
    </row>
    <row r="25" spans="1:15" x14ac:dyDescent="0.25">
      <c r="A25" s="1">
        <v>2</v>
      </c>
      <c r="B25" s="2">
        <v>417</v>
      </c>
      <c r="C25" s="2">
        <v>405</v>
      </c>
      <c r="D25" s="7">
        <v>3</v>
      </c>
      <c r="E25" s="4">
        <v>17</v>
      </c>
      <c r="F25" s="6">
        <v>25</v>
      </c>
      <c r="G25" s="15">
        <f t="shared" ref="G25:G29" si="3">D25/B25</f>
        <v>7.1942446043165471E-3</v>
      </c>
      <c r="H25" s="16">
        <f>((C25+1)*F25)/(E25+1)+D25</f>
        <v>566.88888888888891</v>
      </c>
      <c r="I25" s="16">
        <f>(H25*(B25+2))/(D25+1)-H25</f>
        <v>58814.722222222226</v>
      </c>
      <c r="J25" s="16">
        <f>H25-D25</f>
        <v>563.88888888888891</v>
      </c>
      <c r="K25" s="16">
        <f>H25-D25+C25</f>
        <v>968.88888888888891</v>
      </c>
      <c r="L25" s="15">
        <f t="shared" ref="L25:L28" si="4">(1/E25)-(1/C25)</f>
        <v>5.6354393609295568E-2</v>
      </c>
      <c r="M25" s="3">
        <f>((C25*F25)/E25)+D25</f>
        <v>598.58823529411768</v>
      </c>
      <c r="N25" s="3">
        <f>M25-D25</f>
        <v>595.58823529411768</v>
      </c>
      <c r="O25" s="3">
        <f>M25-D25+C25</f>
        <v>1000.5882352941177</v>
      </c>
    </row>
    <row r="26" spans="1:15" x14ac:dyDescent="0.25">
      <c r="A26" s="1">
        <v>3</v>
      </c>
      <c r="B26" s="2">
        <v>606</v>
      </c>
      <c r="C26" s="2">
        <v>603</v>
      </c>
      <c r="D26" s="7">
        <v>6</v>
      </c>
      <c r="E26" s="4">
        <v>37</v>
      </c>
      <c r="F26" s="6">
        <v>36</v>
      </c>
      <c r="G26" s="15">
        <f t="shared" si="3"/>
        <v>9.9009900990099011E-3</v>
      </c>
      <c r="H26" s="16">
        <f t="shared" ref="H26:H28" si="5">((C26+1)*F26)/(E26+1)+D26</f>
        <v>578.21052631578948</v>
      </c>
      <c r="I26" s="16">
        <f t="shared" ref="I26:I28" si="6">(H26*(B26+2))/(D26+1)-H26</f>
        <v>49643.503759398496</v>
      </c>
      <c r="J26" s="16">
        <f t="shared" ref="J26:J28" si="7">H26-D26</f>
        <v>572.21052631578948</v>
      </c>
      <c r="K26" s="16">
        <f t="shared" ref="K26:K28" si="8">H26-D26+C26</f>
        <v>1175.2105263157896</v>
      </c>
      <c r="L26" s="15">
        <f t="shared" si="4"/>
        <v>2.5368652234323878E-2</v>
      </c>
      <c r="M26" s="3">
        <f t="shared" ref="M26:M28" si="9">((C26*F26)/E26)+D26</f>
        <v>592.70270270270271</v>
      </c>
      <c r="N26" s="3">
        <f t="shared" ref="N26:N28" si="10">M26-D26</f>
        <v>586.70270270270271</v>
      </c>
      <c r="O26" s="3">
        <f t="shared" ref="O26:O28" si="11">M26-D26+C26</f>
        <v>1189.7027027027027</v>
      </c>
    </row>
    <row r="27" spans="1:15" x14ac:dyDescent="0.25">
      <c r="A27" s="1">
        <v>4</v>
      </c>
      <c r="B27" s="2">
        <v>789</v>
      </c>
      <c r="C27" s="2">
        <v>789</v>
      </c>
      <c r="D27" s="7">
        <v>14</v>
      </c>
      <c r="E27" s="4">
        <v>48</v>
      </c>
      <c r="F27" s="6">
        <v>59</v>
      </c>
      <c r="G27" s="15">
        <f t="shared" si="3"/>
        <v>1.7743979721166033E-2</v>
      </c>
      <c r="H27" s="16">
        <f t="shared" si="5"/>
        <v>965.22448979591832</v>
      </c>
      <c r="I27" s="16">
        <f t="shared" si="6"/>
        <v>49934.280272108837</v>
      </c>
      <c r="J27" s="16">
        <f t="shared" si="7"/>
        <v>951.22448979591832</v>
      </c>
      <c r="K27" s="16">
        <f t="shared" si="8"/>
        <v>1740.2244897959183</v>
      </c>
      <c r="L27" s="15">
        <f t="shared" si="4"/>
        <v>1.9565906210392902E-2</v>
      </c>
      <c r="M27" s="3">
        <f t="shared" si="9"/>
        <v>983.8125</v>
      </c>
      <c r="N27" s="3">
        <f t="shared" si="10"/>
        <v>969.8125</v>
      </c>
      <c r="O27" s="3">
        <f t="shared" si="11"/>
        <v>1758.8125</v>
      </c>
    </row>
    <row r="28" spans="1:15" x14ac:dyDescent="0.25">
      <c r="A28" s="1">
        <v>5</v>
      </c>
      <c r="B28" s="2">
        <v>1906</v>
      </c>
      <c r="C28" s="2">
        <v>1880</v>
      </c>
      <c r="D28" s="7">
        <v>77</v>
      </c>
      <c r="E28" s="4">
        <v>32</v>
      </c>
      <c r="F28" s="6">
        <v>30</v>
      </c>
      <c r="G28" s="15">
        <f t="shared" si="3"/>
        <v>4.0398740818467997E-2</v>
      </c>
      <c r="H28" s="16">
        <f t="shared" si="5"/>
        <v>1787</v>
      </c>
      <c r="I28" s="16">
        <f t="shared" si="6"/>
        <v>41925.769230769234</v>
      </c>
      <c r="J28" s="16">
        <f t="shared" si="7"/>
        <v>1710</v>
      </c>
      <c r="K28" s="16">
        <f t="shared" si="8"/>
        <v>3590</v>
      </c>
      <c r="L28" s="15">
        <f t="shared" si="4"/>
        <v>3.0718085106382978E-2</v>
      </c>
      <c r="M28" s="3">
        <f t="shared" si="9"/>
        <v>1839.5</v>
      </c>
      <c r="N28" s="3">
        <f t="shared" si="10"/>
        <v>1762.5</v>
      </c>
      <c r="O28" s="3">
        <f t="shared" si="11"/>
        <v>3642.5</v>
      </c>
    </row>
    <row r="29" spans="1:15" x14ac:dyDescent="0.25">
      <c r="A29" s="1">
        <v>6</v>
      </c>
      <c r="B29" s="2">
        <v>1151</v>
      </c>
      <c r="C29" s="2">
        <v>1151</v>
      </c>
      <c r="D29" s="7">
        <v>62</v>
      </c>
      <c r="G29" s="15">
        <f t="shared" si="3"/>
        <v>5.3866203301476977E-2</v>
      </c>
      <c r="H29" s="9"/>
      <c r="K29" s="9"/>
    </row>
    <row r="31" spans="1:15" x14ac:dyDescent="0.25">
      <c r="A31" s="1" t="s">
        <v>25</v>
      </c>
    </row>
    <row r="32" spans="1:15" s="1" customFormat="1" x14ac:dyDescent="0.25">
      <c r="A32" s="1" t="s">
        <v>9</v>
      </c>
      <c r="B32" s="1" t="s">
        <v>33</v>
      </c>
      <c r="C32" s="1" t="s">
        <v>27</v>
      </c>
      <c r="D32" s="1" t="s">
        <v>28</v>
      </c>
      <c r="E32" s="10" t="s">
        <v>29</v>
      </c>
      <c r="F32" s="11" t="s">
        <v>30</v>
      </c>
      <c r="G32" s="12" t="s">
        <v>31</v>
      </c>
      <c r="H32" s="13" t="s">
        <v>32</v>
      </c>
      <c r="I32" s="10"/>
      <c r="J32" s="11"/>
      <c r="M32" s="14"/>
      <c r="N32" s="11"/>
      <c r="O32" s="11"/>
    </row>
    <row r="33" spans="1:8" x14ac:dyDescent="0.25">
      <c r="A33">
        <v>1</v>
      </c>
      <c r="C33" s="16">
        <f>C34/G33</f>
        <v>106321.25000000001</v>
      </c>
      <c r="D33" s="16">
        <f>C33-B24</f>
        <v>105306.25000000001</v>
      </c>
      <c r="G33" s="18">
        <f>H25/C24</f>
        <v>0.5585112205801861</v>
      </c>
    </row>
    <row r="34" spans="1:8" x14ac:dyDescent="0.25">
      <c r="A34">
        <v>2</v>
      </c>
      <c r="B34" s="16">
        <f>H25+I25</f>
        <v>59381.611111111117</v>
      </c>
      <c r="C34" s="16">
        <f>(H25*(B25+2))/(D25+1)</f>
        <v>59381.611111111117</v>
      </c>
      <c r="D34" s="16">
        <f t="shared" ref="D34:D37" si="12">C34-B25</f>
        <v>58964.611111111117</v>
      </c>
      <c r="E34" s="16">
        <f>SQRT(C34*D34*((K25/H25)*L25+((1-G25)/D25)))</f>
        <v>38677.997868932922</v>
      </c>
      <c r="F34" s="17">
        <f>E34/C34</f>
        <v>0.65134638729422645</v>
      </c>
      <c r="G34" s="18">
        <f>H26/(M25-D25+C25)</f>
        <v>0.57787060243200594</v>
      </c>
      <c r="H34" s="3">
        <f>C35-(G34*(C34-B25+C25))</f>
        <v>15913.761346782587</v>
      </c>
    </row>
    <row r="35" spans="1:8" x14ac:dyDescent="0.25">
      <c r="A35">
        <v>3</v>
      </c>
      <c r="B35" s="16">
        <f t="shared" ref="B35:B37" si="13">H26+I26</f>
        <v>50221.714285714283</v>
      </c>
      <c r="C35" s="16">
        <f t="shared" ref="C35:C37" si="14">(H26*(B26+2))/(D26+1)</f>
        <v>50221.714285714283</v>
      </c>
      <c r="D35" s="16">
        <f t="shared" si="12"/>
        <v>49615.714285714283</v>
      </c>
      <c r="E35" s="16">
        <f>SQRT(C35*D35*((K26/H26)*L26+((1-G26)/D26)))</f>
        <v>23230.723933184385</v>
      </c>
      <c r="F35" s="17">
        <f t="shared" ref="F35:F37" si="15">E35/C35</f>
        <v>0.46256334065028987</v>
      </c>
      <c r="G35" s="18">
        <f t="shared" ref="G35:G36" si="16">H27/(M26-D26+C26)</f>
        <v>0.8113157073638424</v>
      </c>
      <c r="H35" s="3">
        <f>C36-(G35*(C35-B26+C26))</f>
        <v>10156.273058287778</v>
      </c>
    </row>
    <row r="36" spans="1:8" x14ac:dyDescent="0.25">
      <c r="A36">
        <v>4</v>
      </c>
      <c r="B36" s="16">
        <f t="shared" si="13"/>
        <v>50899.504761904755</v>
      </c>
      <c r="C36" s="16">
        <f t="shared" si="14"/>
        <v>50899.504761904755</v>
      </c>
      <c r="D36" s="16">
        <f t="shared" si="12"/>
        <v>50110.504761904755</v>
      </c>
      <c r="E36" s="16">
        <f>SQRT(C36*D36*((K27/H27)*L27+((1-G27)/D27)))</f>
        <v>16399.008056115428</v>
      </c>
      <c r="F36" s="17">
        <f t="shared" si="15"/>
        <v>0.32218403956631636</v>
      </c>
      <c r="G36" s="18">
        <f>H28/(M27-D27+C27)</f>
        <v>1.0160264382928823</v>
      </c>
      <c r="H36" s="3">
        <f>C37-(G36*(C36-B27+C27))</f>
        <v>-8002.4733033404555</v>
      </c>
    </row>
    <row r="37" spans="1:8" x14ac:dyDescent="0.25">
      <c r="A37">
        <v>5</v>
      </c>
      <c r="B37" s="16">
        <f t="shared" si="13"/>
        <v>43712.769230769234</v>
      </c>
      <c r="C37" s="16">
        <f t="shared" si="14"/>
        <v>43712.769230769234</v>
      </c>
      <c r="D37" s="16">
        <f t="shared" si="12"/>
        <v>41806.769230769234</v>
      </c>
      <c r="E37" s="16">
        <f>SQRT(C37*D37*((K28/H28)*L28+((1-G28)/D28)))</f>
        <v>11642.654940835526</v>
      </c>
      <c r="F37" s="17">
        <f t="shared" si="15"/>
        <v>0.26634448344764922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Jonah</cp:lastModifiedBy>
  <dcterms:created xsi:type="dcterms:W3CDTF">2022-02-22T03:13:52Z</dcterms:created>
  <dcterms:modified xsi:type="dcterms:W3CDTF">2022-02-28T02:39:41Z</dcterms:modified>
</cp:coreProperties>
</file>