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ct497\EE Seminar\Code\input\"/>
    </mc:Choice>
  </mc:AlternateContent>
  <bookViews>
    <workbookView xWindow="-108" yWindow="-108" windowWidth="23256" windowHeight="12576" activeTab="1"/>
  </bookViews>
  <sheets>
    <sheet name="Simulering scenarie 2" sheetId="10" r:id="rId1"/>
    <sheet name="Simulering scenarie 1" sheetId="8" r:id="rId2"/>
    <sheet name="PRIS115" sheetId="9" r:id="rId3"/>
    <sheet name="Tech - energi storage" sheetId="6" r:id="rId4"/>
    <sheet name="Tech - electricity plants" sheetId="7" r:id="rId5"/>
    <sheet name="Prices" sheetId="4" r:id="rId6"/>
    <sheet name="Emissions" sheetId="5" r:id="rId7"/>
    <sheet name="Data til simulering v2" sheetId="3" r:id="rId8"/>
    <sheet name="Data til simulering" sheetId="2" r:id="rId9"/>
    <sheet name="Ark1" sheetId="1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8" i="10" l="1"/>
  <c r="B47" i="10"/>
  <c r="B46" i="10"/>
  <c r="B45" i="10"/>
  <c r="B43" i="10"/>
  <c r="B42" i="10"/>
  <c r="B40" i="10"/>
  <c r="B39" i="10"/>
  <c r="B37" i="10"/>
  <c r="B36" i="10"/>
  <c r="B35" i="10"/>
  <c r="B34" i="10"/>
  <c r="G25" i="10"/>
  <c r="G24" i="10" s="1"/>
  <c r="F25" i="10"/>
  <c r="F24" i="10" s="1"/>
  <c r="E25" i="10"/>
  <c r="E24" i="10" s="1"/>
  <c r="D25" i="10"/>
  <c r="D24" i="10" s="1"/>
  <c r="C25" i="10"/>
  <c r="C24" i="10" s="1"/>
  <c r="B25" i="10"/>
  <c r="B24" i="10" s="1"/>
  <c r="G23" i="10"/>
  <c r="F23" i="10"/>
  <c r="E23" i="10"/>
  <c r="D23" i="10"/>
  <c r="C23" i="10"/>
  <c r="B23" i="10"/>
  <c r="B21" i="10"/>
  <c r="G20" i="10"/>
  <c r="F20" i="10"/>
  <c r="F22" i="10" s="1"/>
  <c r="E20" i="10"/>
  <c r="E22" i="10" s="1"/>
  <c r="D20" i="10"/>
  <c r="C20" i="10"/>
  <c r="B20" i="10"/>
  <c r="G18" i="10"/>
  <c r="F18" i="10"/>
  <c r="E18" i="10"/>
  <c r="D18" i="10"/>
  <c r="C18" i="10"/>
  <c r="B18" i="10"/>
  <c r="D16" i="10"/>
  <c r="D21" i="10" s="1"/>
  <c r="D22" i="10" s="1"/>
  <c r="C16" i="10"/>
  <c r="C28" i="10" s="1"/>
  <c r="B16" i="10"/>
  <c r="B28" i="10" s="1"/>
  <c r="B10" i="10"/>
  <c r="B9" i="10"/>
  <c r="B8" i="10"/>
  <c r="B6" i="10"/>
  <c r="B5" i="10"/>
  <c r="B5" i="8"/>
  <c r="B50" i="8"/>
  <c r="C21" i="10" l="1"/>
  <c r="C22" i="10" s="1"/>
  <c r="B22" i="10"/>
  <c r="B51" i="10"/>
  <c r="B50" i="10"/>
  <c r="B10" i="9"/>
  <c r="B9" i="9"/>
  <c r="B48" i="8"/>
  <c r="B47" i="8"/>
  <c r="B51" i="8" s="1"/>
  <c r="B46" i="8"/>
  <c r="B45" i="8"/>
  <c r="B43" i="8"/>
  <c r="B42" i="8"/>
  <c r="B25" i="8"/>
  <c r="B24" i="8" s="1"/>
  <c r="B23" i="8"/>
  <c r="G18" i="8"/>
  <c r="F18" i="8"/>
  <c r="E18" i="8"/>
  <c r="D18" i="8"/>
  <c r="C18" i="8"/>
  <c r="B18" i="8"/>
  <c r="D16" i="8"/>
  <c r="C16" i="8"/>
  <c r="B16" i="8"/>
  <c r="B28" i="8" s="1"/>
  <c r="G25" i="8"/>
  <c r="F25" i="8"/>
  <c r="E25" i="8"/>
  <c r="D25" i="8"/>
  <c r="C25" i="8"/>
  <c r="G23" i="8"/>
  <c r="F23" i="8"/>
  <c r="E23" i="8"/>
  <c r="D23" i="8"/>
  <c r="C23" i="8"/>
  <c r="F20" i="8"/>
  <c r="E20" i="8"/>
  <c r="D20" i="8"/>
  <c r="C20" i="8"/>
  <c r="B20" i="8"/>
  <c r="B10" i="8"/>
  <c r="B9" i="8"/>
  <c r="D21" i="8" s="1"/>
  <c r="B8" i="8"/>
  <c r="B6" i="8"/>
  <c r="C21" i="8" s="1"/>
  <c r="B21" i="8" l="1"/>
  <c r="B22" i="8" s="1"/>
  <c r="G24" i="8"/>
  <c r="F24" i="8"/>
  <c r="E24" i="8"/>
  <c r="D24" i="8"/>
  <c r="C22" i="8"/>
  <c r="C24" i="8"/>
  <c r="B40" i="8" l="1"/>
  <c r="B39" i="8"/>
  <c r="B37" i="8"/>
  <c r="B36" i="8"/>
  <c r="B35" i="8"/>
  <c r="B34" i="8"/>
  <c r="G20" i="8"/>
  <c r="F22" i="8"/>
  <c r="E22" i="8"/>
  <c r="C28" i="8"/>
  <c r="B20" i="4"/>
  <c r="C20" i="4"/>
  <c r="D20" i="4"/>
  <c r="E20" i="4"/>
  <c r="F20" i="4"/>
  <c r="G20" i="4"/>
  <c r="H20" i="4"/>
  <c r="B21" i="4"/>
  <c r="C21" i="4"/>
  <c r="D21" i="4"/>
  <c r="E21" i="4"/>
  <c r="F21" i="4"/>
  <c r="G21" i="4"/>
  <c r="H21" i="4"/>
  <c r="C19" i="4"/>
  <c r="D19" i="4"/>
  <c r="E19" i="4"/>
  <c r="F19" i="4"/>
  <c r="G19" i="4"/>
  <c r="H19" i="4"/>
  <c r="B19" i="4"/>
  <c r="B17" i="4"/>
  <c r="C17" i="4"/>
  <c r="D17" i="4"/>
  <c r="E17" i="4"/>
  <c r="F17" i="4"/>
  <c r="G17" i="4"/>
  <c r="H17" i="4"/>
  <c r="C16" i="4"/>
  <c r="D16" i="4"/>
  <c r="E16" i="4"/>
  <c r="F16" i="4"/>
  <c r="G16" i="4"/>
  <c r="H16" i="4"/>
  <c r="B16" i="4"/>
  <c r="D22" i="8" l="1"/>
  <c r="B21" i="5" l="1"/>
  <c r="B20" i="5"/>
  <c r="B19" i="5"/>
  <c r="B17" i="5"/>
  <c r="B16" i="5"/>
  <c r="E29" i="3"/>
  <c r="E28" i="3"/>
  <c r="E27" i="3"/>
  <c r="G11" i="3"/>
  <c r="L7" i="3"/>
  <c r="M7" i="3" s="1"/>
  <c r="H7" i="3"/>
  <c r="L8" i="3"/>
  <c r="I9" i="3"/>
  <c r="H8" i="3"/>
  <c r="L15" i="3" l="1"/>
  <c r="M8" i="3"/>
  <c r="B9" i="3"/>
  <c r="B8" i="3"/>
  <c r="B7" i="3"/>
  <c r="B6" i="3"/>
  <c r="B5" i="3"/>
  <c r="B4" i="3"/>
  <c r="K4" i="3" s="1"/>
  <c r="F17" i="3"/>
  <c r="D17" i="3"/>
  <c r="C17" i="3"/>
  <c r="B17" i="3"/>
  <c r="K9" i="3"/>
  <c r="F9" i="3"/>
  <c r="H9" i="3" s="1"/>
  <c r="K8" i="3"/>
  <c r="F8" i="3"/>
  <c r="I8" i="3" s="1"/>
  <c r="K7" i="3"/>
  <c r="F7" i="3"/>
  <c r="I7" i="3" s="1"/>
  <c r="K6" i="3"/>
  <c r="I6" i="3"/>
  <c r="K5" i="3"/>
  <c r="I5" i="3"/>
  <c r="I4" i="3"/>
  <c r="I15" i="1" l="1"/>
  <c r="J13" i="1"/>
  <c r="J15" i="1"/>
  <c r="N14" i="1"/>
  <c r="N15" i="1"/>
  <c r="I14" i="1"/>
  <c r="J14" i="1"/>
  <c r="I16" i="1" l="1"/>
  <c r="J16" i="1" s="1"/>
  <c r="G14" i="1"/>
  <c r="J12" i="1" l="1"/>
  <c r="D34" i="1" l="1"/>
  <c r="D37" i="1"/>
  <c r="D36" i="1"/>
  <c r="D35" i="1"/>
  <c r="L12" i="1"/>
  <c r="L13" i="1"/>
  <c r="L14" i="1"/>
  <c r="L15" i="1"/>
  <c r="L16" i="1"/>
  <c r="L11" i="1"/>
  <c r="G24" i="1"/>
  <c r="E24" i="1"/>
  <c r="D24" i="1"/>
  <c r="C24" i="1"/>
  <c r="B10" i="2"/>
  <c r="B9" i="2"/>
  <c r="B8" i="2"/>
  <c r="B7" i="2"/>
  <c r="B6" i="2"/>
  <c r="B5" i="2"/>
  <c r="H10" i="2"/>
  <c r="I10" i="2" s="1"/>
  <c r="F10" i="2"/>
  <c r="F9" i="2"/>
  <c r="H9" i="2" s="1"/>
  <c r="I9" i="2" s="1"/>
  <c r="H8" i="2"/>
  <c r="I8" i="2" s="1"/>
  <c r="F8" i="2"/>
  <c r="I7" i="2"/>
  <c r="I6" i="2"/>
  <c r="I5" i="2"/>
  <c r="J11" i="1"/>
  <c r="G15" i="1"/>
  <c r="G16" i="1"/>
</calcChain>
</file>

<file path=xl/comments1.xml><?xml version="1.0" encoding="utf-8"?>
<comments xmlns="http://schemas.openxmlformats.org/spreadsheetml/2006/main">
  <authors>
    <author>tc={5464BC54-1677-4B50-BB56-B6E994A82388}</author>
    <author>tc={08DE849A-6E81-4960-92BE-0F102BD6FABA}</author>
    <author>tc={BC72CBE7-FF5F-4AD7-901A-277FDE62610A}</author>
  </authors>
  <commentList>
    <comment ref="A2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Konverteret til euro/MW</t>
        </r>
      </text>
    </comment>
    <comment ref="A43" authorId="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Converted to euro/MW/year
</t>
        </r>
      </text>
    </comment>
    <comment ref="A45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Converted to euro</t>
        </r>
      </text>
    </comment>
  </commentList>
</comments>
</file>

<file path=xl/comments2.xml><?xml version="1.0" encoding="utf-8"?>
<comments xmlns="http://schemas.openxmlformats.org/spreadsheetml/2006/main">
  <authors>
    <author>tc={5464BC54-1677-4B50-BB56-B6E994A82388}</author>
    <author>tc={08DE849A-6E81-4960-92BE-0F102BD6FABA}</author>
    <author>tc={BC72CBE7-FF5F-4AD7-901A-277FDE62610A}</author>
  </authors>
  <commentList>
    <comment ref="A2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Konverteret til euro/MW</t>
        </r>
      </text>
    </comment>
    <comment ref="A43" authorId="1" shapeId="0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Converted to euro/MW/year
</t>
        </r>
      </text>
    </comment>
    <comment ref="A45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Converted to euro</t>
        </r>
      </text>
    </comment>
  </commentList>
</comments>
</file>

<file path=xl/sharedStrings.xml><?xml version="1.0" encoding="utf-8"?>
<sst xmlns="http://schemas.openxmlformats.org/spreadsheetml/2006/main" count="344" uniqueCount="118">
  <si>
    <t>Cost structure</t>
  </si>
  <si>
    <t>PV solar</t>
  </si>
  <si>
    <t>Coal</t>
  </si>
  <si>
    <t>Investment cost</t>
  </si>
  <si>
    <t>FOM</t>
  </si>
  <si>
    <t>Storage technology</t>
  </si>
  <si>
    <t>Lithium battery</t>
  </si>
  <si>
    <t>Natural gas</t>
  </si>
  <si>
    <t xml:space="preserve">Variable OEM </t>
  </si>
  <si>
    <t>EUR/MW</t>
  </si>
  <si>
    <t>EUR/MW/Y</t>
  </si>
  <si>
    <t>EUR/MWh</t>
  </si>
  <si>
    <t>Wind (off-shore)</t>
  </si>
  <si>
    <t>Wind (on-shore)</t>
  </si>
  <si>
    <t>Fuel efficiency</t>
  </si>
  <si>
    <t>Biomass</t>
  </si>
  <si>
    <t>Fuel intensity</t>
  </si>
  <si>
    <t>Fuel price</t>
  </si>
  <si>
    <t>GJ in/GJ out</t>
  </si>
  <si>
    <t>EUR/GJ</t>
  </si>
  <si>
    <t>Fuel cost</t>
  </si>
  <si>
    <t>Total variable cost</t>
  </si>
  <si>
    <t>mEUR/MW</t>
  </si>
  <si>
    <t>Charge efficiency</t>
  </si>
  <si>
    <t>Discharge efficiency</t>
  </si>
  <si>
    <t>Variable OEM</t>
  </si>
  <si>
    <t>Specific investment (M€2015 per MWh)</t>
  </si>
  <si>
    <t>- energy component (M€/MWh)</t>
  </si>
  <si>
    <t>- capacity component (M€/MW) PCS</t>
  </si>
  <si>
    <t>- other project costs (M€/MWh)</t>
  </si>
  <si>
    <t>Energy storage expansion cost (M€2015/MWh)</t>
  </si>
  <si>
    <t>Output capacity expansion cost (M€2015/MW)</t>
  </si>
  <si>
    <t>Alternative Investment cost (M€2015/MW)</t>
  </si>
  <si>
    <t>Lifetime in total number of cycles</t>
  </si>
  <si>
    <t>Investment cost (Energy Storage)</t>
  </si>
  <si>
    <t>Investment cost (output capacity)</t>
  </si>
  <si>
    <t>mEUR/MWh</t>
  </si>
  <si>
    <t>Technical lifetime</t>
  </si>
  <si>
    <t>Depreciation (no discounting)</t>
  </si>
  <si>
    <t>Energy loss during storage per day</t>
  </si>
  <si>
    <t>mEUR/MW/Y</t>
  </si>
  <si>
    <t>Pris for et 1MWh/3MW batteri</t>
  </si>
  <si>
    <t>Electricity plants</t>
  </si>
  <si>
    <t>T CO2/GJ</t>
  </si>
  <si>
    <t>Emission intensity</t>
  </si>
  <si>
    <t>Emission intensity Electric</t>
  </si>
  <si>
    <t>T CO2/MWh</t>
  </si>
  <si>
    <t>MWh</t>
  </si>
  <si>
    <t>=</t>
  </si>
  <si>
    <t>3,6 GJ</t>
  </si>
  <si>
    <t>Priser (basisfremskrivningen 2020)</t>
  </si>
  <si>
    <t>Kul</t>
  </si>
  <si>
    <t>Naturgas</t>
  </si>
  <si>
    <t>Biomasse</t>
  </si>
  <si>
    <t>Træflis</t>
  </si>
  <si>
    <t>Træpiller</t>
  </si>
  <si>
    <t>Halm</t>
  </si>
  <si>
    <t>DKK/GJ</t>
  </si>
  <si>
    <t>Basisfremskrvningen (2020 priser)</t>
  </si>
  <si>
    <t>-Biomasse</t>
  </si>
  <si>
    <t>Kilmastatus og fremskrivning 2023 (2022 priser)</t>
  </si>
  <si>
    <t>T CO2/TJ</t>
  </si>
  <si>
    <t>Kilde: ENS, Standardfaktorer for brændværdier og CO2-emissionsfaktorer til brug for rapporteringsåret 2021</t>
  </si>
  <si>
    <t>Kilde: ENS, basisfremskrivningen 2020 og klimastatus og fremskrivning 2023</t>
  </si>
  <si>
    <t>Lithium Ion battery</t>
  </si>
  <si>
    <t>Round trip efficiency (%) AC</t>
  </si>
  <si>
    <t>Round trip efficiency (%) DC</t>
  </si>
  <si>
    <t>- Discharge efficiency (%)</t>
  </si>
  <si>
    <t>All cost data is in 2015euro</t>
  </si>
  <si>
    <t>Variable OEM (euro/MWh)</t>
  </si>
  <si>
    <t>FOM (euro/MW/year)</t>
  </si>
  <si>
    <t>FOM (k-euro/MW/year)</t>
  </si>
  <si>
    <t>Specific investment, 1MWh:3MW (M-euro/MWh)</t>
  </si>
  <si>
    <t>- Charge efficiency (%)</t>
  </si>
  <si>
    <t>Energy component (M-euro/MWh)</t>
  </si>
  <si>
    <t>Capacity component (M-euro/MW)</t>
  </si>
  <si>
    <t>Other project costs (M-eruo/MWh)</t>
  </si>
  <si>
    <t>Kilde: ENS, teknologi kataloger</t>
  </si>
  <si>
    <t>Uncertainty 2020</t>
  </si>
  <si>
    <t>Lower</t>
  </si>
  <si>
    <t>Upper</t>
  </si>
  <si>
    <t>Uncertainty 2050</t>
  </si>
  <si>
    <t>01 Coal CHP</t>
  </si>
  <si>
    <t>All cost data is in 2015 euro</t>
  </si>
  <si>
    <t>Electrical efficiency</t>
  </si>
  <si>
    <t>Nominal investment (M-euro/MW)</t>
  </si>
  <si>
    <t>05 Gas turb.</t>
  </si>
  <si>
    <t>22 Utility-scale PV</t>
  </si>
  <si>
    <t>20 Onshore wind turbine</t>
  </si>
  <si>
    <t>21 Offshore wind turbine</t>
  </si>
  <si>
    <t>09b Biomass wood pellets, 50 degress</t>
  </si>
  <si>
    <t>Prices</t>
  </si>
  <si>
    <t>Tech year:</t>
  </si>
  <si>
    <t>Price year:</t>
  </si>
  <si>
    <t>Fuel cost (EUR/MWh)</t>
  </si>
  <si>
    <t>Emissions</t>
  </si>
  <si>
    <t>Total variable cost (EUR/MWh)</t>
  </si>
  <si>
    <t>Emission intensity (T CO2/MWh)</t>
  </si>
  <si>
    <t>(Sat til 0 for nuværende)</t>
  </si>
  <si>
    <t>Tech year for storage:</t>
  </si>
  <si>
    <t>Yearly investment</t>
  </si>
  <si>
    <t>Yearly investment - energy comp</t>
  </si>
  <si>
    <t>Yearly investment - capacity comp</t>
  </si>
  <si>
    <t>Nettoprisindeks (2015=100) efter hovedtal og tid</t>
  </si>
  <si>
    <t>Enhed: Indeks</t>
  </si>
  <si>
    <t>2015</t>
  </si>
  <si>
    <t>2016</t>
  </si>
  <si>
    <t>2017</t>
  </si>
  <si>
    <t>2018</t>
  </si>
  <si>
    <t>2019</t>
  </si>
  <si>
    <t>2020</t>
  </si>
  <si>
    <t>2021</t>
  </si>
  <si>
    <t>2022</t>
  </si>
  <si>
    <t>Årsgennemsnit</t>
  </si>
  <si>
    <t xml:space="preserve">Prisindeksene for april - december 2020 er mere usikre end normalt, da bortfaldet har været større end normalt og nogle brancher har været helt nedlukkede. Læs mere på www.dst.dk/doku/forbrugerprisindeks. </t>
  </si>
  <si>
    <t>2015 til 2020</t>
  </si>
  <si>
    <t>2022 til 2020</t>
  </si>
  <si>
    <t>Price convertion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</si>
</sst>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%"/>
    <numFmt numFmtId="167" formatCode="_-* #,##0.000\ _k_r_._-;\-* #,##0.000\ _k_r_._-;_-* &quot;-&quot;??\ _k_r_._-;_-@_-"/>
    <numFmt numFmtId="168" formatCode="_-* #,##0.00\ _k_r_._-;\-* #,##0.00\ _k_r_._-;_-* &quot;-&quot;??\ _k_r_._-;_-@_-"/>
    <numFmt numFmtId="169" formatCode="0.000"/>
    <numFmt numFmtId="170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3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Border="0" applyAlignment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/>
    <xf numFmtId="165" fontId="0" fillId="0" borderId="0" xfId="0" applyNumberFormat="1"/>
    <xf numFmtId="166" fontId="0" fillId="0" borderId="0" xfId="2" applyNumberFormat="1" applyFont="1"/>
    <xf numFmtId="0" fontId="0" fillId="2" borderId="0" xfId="0" applyFill="1" applyAlignment="1">
      <alignment horizontal="center"/>
    </xf>
    <xf numFmtId="0" fontId="0" fillId="2" borderId="0" xfId="0" applyFill="1"/>
    <xf numFmtId="43" fontId="0" fillId="2" borderId="0" xfId="1" applyFont="1" applyFill="1"/>
    <xf numFmtId="167" fontId="0" fillId="2" borderId="0" xfId="0" applyNumberFormat="1" applyFill="1"/>
    <xf numFmtId="168" fontId="0" fillId="0" borderId="0" xfId="0" applyNumberFormat="1"/>
    <xf numFmtId="169" fontId="0" fillId="0" borderId="0" xfId="0" applyNumberFormat="1"/>
    <xf numFmtId="0" fontId="4" fillId="0" borderId="0" xfId="0" quotePrefix="1" applyFont="1"/>
    <xf numFmtId="164" fontId="0" fillId="0" borderId="0" xfId="1" applyNumberFormat="1" applyFont="1" applyAlignment="1">
      <alignment horizontal="center"/>
    </xf>
    <xf numFmtId="0" fontId="3" fillId="3" borderId="0" xfId="0" applyFont="1" applyFill="1"/>
    <xf numFmtId="170" fontId="0" fillId="0" borderId="0" xfId="1" applyNumberFormat="1" applyFont="1"/>
    <xf numFmtId="164" fontId="0" fillId="0" borderId="0" xfId="0" applyNumberFormat="1"/>
    <xf numFmtId="0" fontId="6" fillId="0" borderId="0" xfId="3" applyFont="1"/>
    <xf numFmtId="0" fontId="5" fillId="0" borderId="0" xfId="3"/>
    <xf numFmtId="0" fontId="7" fillId="0" borderId="0" xfId="3" applyFont="1"/>
    <xf numFmtId="0" fontId="8" fillId="0" borderId="0" xfId="3" applyFont="1" applyAlignment="1">
      <alignment horizontal="left"/>
    </xf>
    <xf numFmtId="0" fontId="5" fillId="0" borderId="0" xfId="3" applyAlignment="1">
      <alignment horizontal="right"/>
    </xf>
    <xf numFmtId="0" fontId="7" fillId="0" borderId="0" xfId="3" applyFont="1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jarke Kinnerup  Jørgensen" id="{C09047E1-7761-4C37-8085-245871A18B05}" userId="S::bkj@herslevbryghus.dk::6be49b31-5fe4-40e0-b934-8327b211601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5" dT="2023-03-14T12:51:18.43" personId="{C09047E1-7761-4C37-8085-245871A18B05}" id="{5464BC54-1677-4B50-BB56-B6E994A82388}">
    <text>Konverteret til euro/MW</text>
  </threadedComment>
  <threadedComment ref="A43" dT="2023-03-14T13:21:19.89" personId="{C09047E1-7761-4C37-8085-245871A18B05}" id="{08DE849A-6E81-4960-92BE-0F102BD6FABA}">
    <text xml:space="preserve">Converted to euro/MW/year
</text>
  </threadedComment>
  <threadedComment ref="A45" dT="2023-03-14T13:21:35.53" personId="{C09047E1-7761-4C37-8085-245871A18B05}" id="{BC72CBE7-FF5F-4AD7-901A-277FDE62610A}">
    <text>Converted to euro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62"/>
  <sheetViews>
    <sheetView zoomScale="91" zoomScaleNormal="145" workbookViewId="0">
      <selection activeCell="B15" sqref="B15"/>
    </sheetView>
  </sheetViews>
  <sheetFormatPr defaultRowHeight="14.4" x14ac:dyDescent="0.3"/>
  <cols>
    <col min="1" max="1" width="36.21875" bestFit="1" customWidth="1"/>
    <col min="2" max="2" width="18" bestFit="1" customWidth="1"/>
    <col min="3" max="3" width="17.88671875" bestFit="1" customWidth="1"/>
    <col min="4" max="4" width="31.77734375" bestFit="1" customWidth="1"/>
    <col min="5" max="5" width="27.88671875" bestFit="1" customWidth="1"/>
    <col min="6" max="6" width="21.33203125" bestFit="1" customWidth="1"/>
    <col min="7" max="7" width="29.44140625" bestFit="1" customWidth="1"/>
    <col min="8" max="8" width="30" bestFit="1" customWidth="1"/>
    <col min="9" max="9" width="29.33203125" bestFit="1" customWidth="1"/>
    <col min="10" max="10" width="15.77734375" bestFit="1" customWidth="1"/>
    <col min="11" max="11" width="26.33203125" bestFit="1" customWidth="1"/>
    <col min="12" max="12" width="16.109375" bestFit="1" customWidth="1"/>
    <col min="13" max="13" width="22.77734375" bestFit="1" customWidth="1"/>
  </cols>
  <sheetData>
    <row r="2" spans="1:8" x14ac:dyDescent="0.3">
      <c r="A2" t="s">
        <v>91</v>
      </c>
      <c r="D2" t="s">
        <v>95</v>
      </c>
      <c r="G2" s="1" t="s">
        <v>117</v>
      </c>
    </row>
    <row r="3" spans="1:8" x14ac:dyDescent="0.3">
      <c r="A3" t="s">
        <v>19</v>
      </c>
      <c r="B3" t="s">
        <v>93</v>
      </c>
      <c r="D3" t="s">
        <v>43</v>
      </c>
      <c r="G3" t="s">
        <v>115</v>
      </c>
      <c r="H3">
        <v>1.0390000000000001</v>
      </c>
    </row>
    <row r="4" spans="1:8" x14ac:dyDescent="0.3">
      <c r="B4" s="11">
        <v>2030</v>
      </c>
      <c r="G4" t="s">
        <v>116</v>
      </c>
      <c r="H4">
        <v>0.9154185022026432</v>
      </c>
    </row>
    <row r="5" spans="1:8" x14ac:dyDescent="0.3">
      <c r="A5" s="1" t="s">
        <v>51</v>
      </c>
      <c r="B5" s="7">
        <f>VLOOKUP(A5,Prices!A15:H21,MATCH('Simulering scenarie 2'!B4,Prices!A15:H15,0),FALSE)*IF(B4&gt;2021,H4,1)</f>
        <v>4.5586612660024244</v>
      </c>
      <c r="D5" s="1" t="s">
        <v>51</v>
      </c>
      <c r="E5">
        <v>9.4200000000000006E-2</v>
      </c>
    </row>
    <row r="6" spans="1:8" x14ac:dyDescent="0.3">
      <c r="A6" s="1" t="s">
        <v>52</v>
      </c>
      <c r="B6" s="7">
        <f>VLOOKUP(A6,Prices!A15:H21,MATCH('Simulering scenarie 2'!B4,Prices!A15:H15,0),FALSE)*IF(B4&gt;2021,H4,1)</f>
        <v>9.5350974189161217</v>
      </c>
      <c r="D6" s="1" t="s">
        <v>52</v>
      </c>
      <c r="E6">
        <v>5.5469999999999998E-2</v>
      </c>
    </row>
    <row r="7" spans="1:8" x14ac:dyDescent="0.3">
      <c r="A7" s="16" t="s">
        <v>59</v>
      </c>
      <c r="B7" s="7"/>
      <c r="D7" s="1" t="s">
        <v>59</v>
      </c>
    </row>
    <row r="8" spans="1:8" x14ac:dyDescent="0.3">
      <c r="A8" s="1" t="s">
        <v>54</v>
      </c>
      <c r="B8" s="7">
        <f>VLOOKUP(A8,Prices!A15:H21,MATCH('Simulering scenarie 2'!B4,Prices!A15:H15,0),FALSE)*IF(B4&gt;2021,H4,1)</f>
        <v>7.6551104278153925</v>
      </c>
      <c r="D8" s="1" t="s">
        <v>54</v>
      </c>
      <c r="E8">
        <v>0.112</v>
      </c>
    </row>
    <row r="9" spans="1:8" x14ac:dyDescent="0.3">
      <c r="A9" s="1" t="s">
        <v>55</v>
      </c>
      <c r="B9" s="7">
        <f>VLOOKUP(A9,Prices!A15:H21,MATCH('Simulering scenarie 2'!B4,Prices!A15:H15,0),FALSE)*IF(B4&gt;2021,H4,1)</f>
        <v>10.14947225260917</v>
      </c>
      <c r="D9" s="1" t="s">
        <v>55</v>
      </c>
      <c r="E9">
        <v>0.112</v>
      </c>
      <c r="F9" t="s">
        <v>98</v>
      </c>
    </row>
    <row r="10" spans="1:8" x14ac:dyDescent="0.3">
      <c r="A10" s="1" t="s">
        <v>56</v>
      </c>
      <c r="B10" s="7">
        <f>VLOOKUP(A10,Prices!A15:H21,MATCH('Simulering scenarie 2'!B4,Prices!A15:H15,0),FALSE)*IF(B4&gt;2021,H4,1)</f>
        <v>6.5123732371463205</v>
      </c>
      <c r="D10" s="1" t="s">
        <v>56</v>
      </c>
      <c r="E10">
        <v>0.1</v>
      </c>
    </row>
    <row r="13" spans="1:8" x14ac:dyDescent="0.3">
      <c r="B13" s="27" t="s">
        <v>92</v>
      </c>
    </row>
    <row r="14" spans="1:8" x14ac:dyDescent="0.3">
      <c r="A14" s="1" t="s">
        <v>42</v>
      </c>
      <c r="B14" s="11">
        <v>2030</v>
      </c>
    </row>
    <row r="15" spans="1:8" x14ac:dyDescent="0.3">
      <c r="B15" s="1" t="s">
        <v>82</v>
      </c>
      <c r="C15" s="1" t="s">
        <v>86</v>
      </c>
      <c r="D15" s="1" t="s">
        <v>90</v>
      </c>
      <c r="E15" s="1" t="s">
        <v>88</v>
      </c>
      <c r="F15" s="1" t="s">
        <v>89</v>
      </c>
      <c r="G15" s="1" t="s">
        <v>87</v>
      </c>
    </row>
    <row r="16" spans="1:8" x14ac:dyDescent="0.3">
      <c r="A16" t="s">
        <v>84</v>
      </c>
      <c r="B16">
        <f>VLOOKUP(A16,'Tech - electricity plants'!A5:F12,MATCH('Simulering scenarie 2'!B14,'Tech - electricity plants'!A5:F5,0),FALSE)</f>
        <v>0.52</v>
      </c>
      <c r="C16">
        <f>VLOOKUP(A16,'Tech - electricity plants'!A15:F22,MATCH('Simulering scenarie 2'!B14,'Tech - electricity plants'!A15:F15,0),FALSE)</f>
        <v>0.53</v>
      </c>
      <c r="D16" s="7">
        <f>VLOOKUP(A16,'Tech - electricity plants'!A55:F62,MATCH('Simulering scenarie 2'!B14,'Tech - electricity plants'!A55:F55,0),FALSE)</f>
        <v>0.30180299999999999</v>
      </c>
    </row>
    <row r="18" spans="1:12" x14ac:dyDescent="0.3">
      <c r="A18" t="s">
        <v>37</v>
      </c>
      <c r="B18">
        <f>VLOOKUP(A18,'Tech - electricity plants'!A5:F12,MATCH('Simulering scenarie 2'!B14,'Tech - electricity plants'!A5:F5,0),FALSE)</f>
        <v>25</v>
      </c>
      <c r="C18">
        <f>VLOOKUP(A18,'Tech - electricity plants'!A15:F22,MATCH('Simulering scenarie 2'!B14,'Tech - electricity plants'!A15:F15,0),FALSE)</f>
        <v>25</v>
      </c>
      <c r="D18">
        <f>VLOOKUP(A18,'Tech - electricity plants'!A55:F62,MATCH('Simulering scenarie 2'!B14,'Tech - electricity plants'!A55:F55,0),FALSE)</f>
        <v>25</v>
      </c>
      <c r="E18">
        <f>VLOOKUP(A18,'Tech - electricity plants'!A35:F42,MATCH('Simulering scenarie 2'!B14,'Tech - electricity plants'!A35:F35,0),FALSE)</f>
        <v>30</v>
      </c>
      <c r="F18">
        <f>VLOOKUP(A18,'Tech - electricity plants'!A45:F52,MATCH('Simulering scenarie 2'!B14,'Tech - electricity plants'!A45:F45,0),FALSE)</f>
        <v>30</v>
      </c>
      <c r="G18">
        <f>VLOOKUP(A18,'Tech - electricity plants'!A25:F32,MATCH('Simulering scenarie 2'!B14,'Tech - electricity plants'!A25:F25,0),FALSE)</f>
        <v>40</v>
      </c>
    </row>
    <row r="20" spans="1:12" x14ac:dyDescent="0.3">
      <c r="A20" t="s">
        <v>69</v>
      </c>
      <c r="B20" s="19">
        <f>VLOOKUP(A20,'Tech - electricity plants'!A5:F12,MATCH('Simulering scenarie 2'!B14,'Tech - electricity plants'!A5:F5,0),FALSE)*H3</f>
        <v>2.9507600000000003</v>
      </c>
      <c r="C20" s="19">
        <f>VLOOKUP(A20,'Tech - electricity plants'!A15:F22,MATCH('Simulering scenarie 2'!B14,'Tech - electricity plants'!A15:F15,0),FALSE)*H3</f>
        <v>4.3638000000000012</v>
      </c>
      <c r="D20" s="19">
        <f>VLOOKUP(A20,'Tech - electricity plants'!A55:F62,MATCH('Simulering scenarie 2'!B14,'Tech - electricity plants'!A55:F55,0),FALSE)*H3</f>
        <v>1.7870800000000002</v>
      </c>
      <c r="E20" s="19">
        <f>VLOOKUP(A20,'Tech - electricity plants'!A35:F42,MATCH('Simulering scenarie 2'!B14,'Tech - electricity plants'!A35:F35,0),FALSE)*H3</f>
        <v>1.4026500000000004</v>
      </c>
      <c r="F20" s="19">
        <f>VLOOKUP(A20,'Tech - electricity plants'!A45:F52,MATCH('Simulering scenarie 2'!B14,'Tech - electricity plants'!A45:F45,0),FALSE)*H3</f>
        <v>4.041710000000001</v>
      </c>
      <c r="G20" s="19">
        <f>VLOOKUP(A20,'Tech - electricity plants'!A25:F32,MATCH('Simulering scenarie 2'!B14,'Tech - electricity plants'!A25:F25,0),FALSE)</f>
        <v>0</v>
      </c>
    </row>
    <row r="21" spans="1:12" x14ac:dyDescent="0.3">
      <c r="A21" t="s">
        <v>94</v>
      </c>
      <c r="B21" s="19">
        <f>1/B16*3.6*B5</f>
        <v>31.559962610786013</v>
      </c>
      <c r="C21" s="19">
        <f>1/C16*3.6*B6</f>
        <v>64.766699449241571</v>
      </c>
      <c r="D21" s="19">
        <f>1/D16*3.6*B9</f>
        <v>121.06606001064607</v>
      </c>
      <c r="E21" s="19"/>
      <c r="F21" s="19"/>
      <c r="G21" s="19"/>
    </row>
    <row r="22" spans="1:12" x14ac:dyDescent="0.3">
      <c r="A22" t="s">
        <v>96</v>
      </c>
      <c r="B22" s="19">
        <f>B21+B20</f>
        <v>34.510722610786011</v>
      </c>
      <c r="C22" s="19">
        <f>C21+C20</f>
        <v>69.130499449241569</v>
      </c>
      <c r="D22" s="19">
        <f>D21+D20</f>
        <v>122.85314001064607</v>
      </c>
      <c r="E22" s="19">
        <f>E21+E20</f>
        <v>1.4026500000000004</v>
      </c>
      <c r="F22" s="19">
        <f>F21+F20</f>
        <v>4.041710000000001</v>
      </c>
      <c r="G22" s="19">
        <v>0</v>
      </c>
    </row>
    <row r="23" spans="1:12" x14ac:dyDescent="0.3">
      <c r="A23" t="s">
        <v>70</v>
      </c>
      <c r="B23" s="19">
        <f>VLOOKUP(A23,'Tech - electricity plants'!A5:F12,MATCH('Simulering scenarie 2'!B14,'Tech - electricity plants'!A5:F5,0),FALSE)*H3</f>
        <v>31538.969680000002</v>
      </c>
      <c r="C23" s="19">
        <f>VLOOKUP(A23,'Tech - electricity plants'!A15:F22,MATCH('Simulering scenarie 2'!B14,'Tech - electricity plants'!A15:F15,0),FALSE)*H3</f>
        <v>28884.200000000004</v>
      </c>
      <c r="D23" s="19">
        <f>VLOOKUP(A23,'Tech - electricity plants'!A55:F62,MATCH('Simulering scenarie 2'!B14,'Tech - electricity plants'!A55:F55,0),FALSE)*H3</f>
        <v>65457.000000000007</v>
      </c>
      <c r="E23" s="19">
        <f>VLOOKUP(A23,'Tech - electricity plants'!A35:F42,MATCH('Simulering scenarie 2'!B14,'Tech - electricity plants'!A35:F35,0),FALSE)*H3</f>
        <v>13091.400000000001</v>
      </c>
      <c r="F23" s="19">
        <f>VLOOKUP(A23,'Tech - electricity plants'!A45:F52,MATCH('Simulering scenarie 2'!B14,'Tech - electricity plants'!A45:F45,0),FALSE)*H3</f>
        <v>40521.000000000007</v>
      </c>
      <c r="G23" s="19">
        <f>VLOOKUP(A23,'Tech - electricity plants'!A25:F32,MATCH('Simulering scenarie 2'!B14,'Tech - electricity plants'!A25:F25,0),FALSE)*H3</f>
        <v>9870.5000000000018</v>
      </c>
    </row>
    <row r="24" spans="1:12" x14ac:dyDescent="0.3">
      <c r="A24" t="s">
        <v>100</v>
      </c>
      <c r="B24" s="19">
        <f>B25/B18</f>
        <v>77301.600000000006</v>
      </c>
      <c r="C24" s="19">
        <f t="shared" ref="C24:G24" si="0">C25/C18</f>
        <v>49872.000000000007</v>
      </c>
      <c r="D24" s="19">
        <f t="shared" si="0"/>
        <v>93925.60000000002</v>
      </c>
      <c r="E24" s="19">
        <f t="shared" si="0"/>
        <v>36018.666666666672</v>
      </c>
      <c r="F24" s="19">
        <f t="shared" si="0"/>
        <v>62340.000000000007</v>
      </c>
      <c r="G24" s="19">
        <f t="shared" si="0"/>
        <v>9870.5000000000018</v>
      </c>
    </row>
    <row r="25" spans="1:12" x14ac:dyDescent="0.3">
      <c r="A25" t="s">
        <v>85</v>
      </c>
      <c r="B25" s="19">
        <f>VLOOKUP(A25,'Tech - electricity plants'!A5:F12,MATCH('Simulering scenarie 2'!B14,'Tech - electricity plants'!A5:F5,0),FALSE)*1000000*H3</f>
        <v>1932540.0000000002</v>
      </c>
      <c r="C25" s="19">
        <f>VLOOKUP(A25,'Tech - electricity plants'!A15:F22,MATCH('Simulering scenarie 2'!B14,'Tech - electricity plants'!A15:F15,0),FALSE)*1000000*H3</f>
        <v>1246800.0000000002</v>
      </c>
      <c r="D25" s="19">
        <f>VLOOKUP(A25,'Tech - electricity plants'!A55:F62,MATCH('Simulering scenarie 2'!B14,'Tech - electricity plants'!A55:F55,0),FALSE)*1000000*H3</f>
        <v>2348140.0000000005</v>
      </c>
      <c r="E25" s="19">
        <f>VLOOKUP(A25,'Tech - electricity plants'!A35:F42,MATCH('Simulering scenarie 2'!B14,'Tech - electricity plants'!A35:F35,0),FALSE)*1000000*H3</f>
        <v>1080560.0000000002</v>
      </c>
      <c r="F25" s="19">
        <f>VLOOKUP(A25,'Tech - electricity plants'!A45:F52,MATCH('Simulering scenarie 2'!B14,'Tech - electricity plants'!A45:F45,0),FALSE)*1000000*H3</f>
        <v>1870200.0000000002</v>
      </c>
      <c r="G25" s="19">
        <f>VLOOKUP(A25,'Tech - electricity plants'!A25:F32,MATCH('Simulering scenarie 2'!B14,'Tech - electricity plants'!A25:F25,0),FALSE)*1000000*H3</f>
        <v>394820.00000000006</v>
      </c>
    </row>
    <row r="26" spans="1:12" x14ac:dyDescent="0.3">
      <c r="B26" s="19"/>
      <c r="C26" s="19"/>
      <c r="D26" s="19"/>
      <c r="E26" s="19"/>
      <c r="F26" s="19"/>
      <c r="G26" s="19"/>
    </row>
    <row r="27" spans="1:12" x14ac:dyDescent="0.3">
      <c r="B27" s="19"/>
      <c r="C27" s="19"/>
      <c r="D27" s="19"/>
      <c r="E27" s="19"/>
      <c r="F27" s="19"/>
    </row>
    <row r="28" spans="1:12" x14ac:dyDescent="0.3">
      <c r="A28" t="s">
        <v>97</v>
      </c>
      <c r="B28" s="19">
        <f>1/B16*E5*3.6</f>
        <v>0.65215384615384608</v>
      </c>
      <c r="C28" s="19">
        <f>1/C16*E6*3.6</f>
        <v>0.37677735849056598</v>
      </c>
      <c r="D28" s="19"/>
      <c r="E28" s="19"/>
      <c r="F28" s="19"/>
    </row>
    <row r="30" spans="1:12" x14ac:dyDescent="0.3">
      <c r="L30">
        <v>15.3</v>
      </c>
    </row>
    <row r="31" spans="1:12" x14ac:dyDescent="0.3">
      <c r="B31" t="s">
        <v>99</v>
      </c>
    </row>
    <row r="32" spans="1:12" x14ac:dyDescent="0.3">
      <c r="B32" s="11">
        <v>2030</v>
      </c>
    </row>
    <row r="33" spans="1:2" x14ac:dyDescent="0.3">
      <c r="B33" s="1" t="s">
        <v>64</v>
      </c>
    </row>
    <row r="34" spans="1:2" x14ac:dyDescent="0.3">
      <c r="A34" s="1" t="s">
        <v>65</v>
      </c>
      <c r="B34">
        <f>VLOOKUP(A34,'Tech - energi storage'!A5:E20,MATCH('Simulering scenarie 2'!B32,'Tech - energi storage'!A5:E5,0),FALSE)</f>
        <v>92</v>
      </c>
    </row>
    <row r="35" spans="1:2" x14ac:dyDescent="0.3">
      <c r="A35" s="1" t="s">
        <v>66</v>
      </c>
      <c r="B35">
        <f>VLOOKUP(A35,'Tech - energi storage'!A5:E20,MATCH('Simulering scenarie 2'!B32,'Tech - energi storage'!A5:E5,0),FALSE)</f>
        <v>96</v>
      </c>
    </row>
    <row r="36" spans="1:2" x14ac:dyDescent="0.3">
      <c r="A36" t="s">
        <v>73</v>
      </c>
      <c r="B36">
        <f>VLOOKUP(A36,'Tech - energi storage'!A5:E20,MATCH('Simulering scenarie 2'!B32,'Tech - energi storage'!A5:E5,0),FALSE)</f>
        <v>98.5</v>
      </c>
    </row>
    <row r="37" spans="1:2" x14ac:dyDescent="0.3">
      <c r="A37" t="s">
        <v>67</v>
      </c>
      <c r="B37">
        <f>VLOOKUP(A37,'Tech - energi storage'!A5:E20,MATCH('Simulering scenarie 2'!B32,'Tech - energi storage'!A5:E5,0),FALSE)</f>
        <v>97.5</v>
      </c>
    </row>
    <row r="38" spans="1:2" x14ac:dyDescent="0.3">
      <c r="A38" s="1"/>
    </row>
    <row r="39" spans="1:2" x14ac:dyDescent="0.3">
      <c r="A39" s="1" t="s">
        <v>37</v>
      </c>
      <c r="B39">
        <f>VLOOKUP(A39,'Tech - energi storage'!A5:E20,MATCH('Simulering scenarie 2'!B32,'Tech - energi storage'!A5:E5,0),FALSE)</f>
        <v>25</v>
      </c>
    </row>
    <row r="40" spans="1:2" x14ac:dyDescent="0.3">
      <c r="A40" s="1" t="s">
        <v>33</v>
      </c>
      <c r="B40">
        <f>VLOOKUP(A40,'Tech - energi storage'!A5:E20,MATCH('Simulering scenarie 2'!B32,'Tech - energi storage'!A5:E5,0),FALSE)</f>
        <v>30000</v>
      </c>
    </row>
    <row r="42" spans="1:2" x14ac:dyDescent="0.3">
      <c r="A42" s="1" t="s">
        <v>69</v>
      </c>
      <c r="B42">
        <f>VLOOKUP(A42,'Tech - energi storage'!A5:E20,MATCH('Simulering scenarie 2'!B32,'Tech - energi storage'!A5:E5,0),FALSE)*H3</f>
        <v>1.8702000000000003</v>
      </c>
    </row>
    <row r="43" spans="1:2" x14ac:dyDescent="0.3">
      <c r="A43" s="1" t="s">
        <v>71</v>
      </c>
      <c r="B43">
        <f>VLOOKUP(A43,'Tech - energi storage'!A5:E20,MATCH('Simulering scenarie 2'!B32,'Tech - energi storage'!A5:E5,0),FALSE)*1000*H3</f>
        <v>561.06000000000006</v>
      </c>
    </row>
    <row r="44" spans="1:2" x14ac:dyDescent="0.3">
      <c r="A44" s="1"/>
    </row>
    <row r="45" spans="1:2" x14ac:dyDescent="0.3">
      <c r="A45" s="1" t="s">
        <v>72</v>
      </c>
      <c r="B45" s="4">
        <f>VLOOKUP(A45,'Tech - energi storage'!A5:E20,MATCH('Simulering scenarie 2'!B32,'Tech - energi storage'!A5:E5,0),FALSE)*1000000*H3</f>
        <v>646258.00000000012</v>
      </c>
    </row>
    <row r="46" spans="1:2" x14ac:dyDescent="0.3">
      <c r="A46" t="s">
        <v>74</v>
      </c>
      <c r="B46" s="4">
        <f>VLOOKUP(A46,'Tech - energi storage'!A5:E20,MATCH('Simulering scenarie 2'!B32,'Tech - energi storage'!A5:E5,0),FALSE)*1000000*H3</f>
        <v>64418.000000000007</v>
      </c>
    </row>
    <row r="47" spans="1:2" x14ac:dyDescent="0.3">
      <c r="A47" t="s">
        <v>75</v>
      </c>
      <c r="B47" s="4">
        <f>VLOOKUP(A47,'Tech - energi storage'!A5:E20,MATCH('Simulering scenarie 2'!B32,'Tech - energi storage'!A5:E5,0),FALSE)*1000000*H3</f>
        <v>166240.00000000003</v>
      </c>
    </row>
    <row r="48" spans="1:2" x14ac:dyDescent="0.3">
      <c r="A48" t="s">
        <v>76</v>
      </c>
      <c r="B48" s="4">
        <f>VLOOKUP(A48,'Tech - energi storage'!A5:E20,MATCH('Simulering scenarie 2'!B32,'Tech - energi storage'!A5:E5,0),FALSE)*1000000*H3</f>
        <v>83120.000000000015</v>
      </c>
    </row>
    <row r="50" spans="1:5" x14ac:dyDescent="0.3">
      <c r="A50" t="s">
        <v>101</v>
      </c>
      <c r="B50" s="20">
        <f>(B48+B46)/B39</f>
        <v>5901.5200000000013</v>
      </c>
    </row>
    <row r="51" spans="1:5" x14ac:dyDescent="0.3">
      <c r="A51" t="s">
        <v>102</v>
      </c>
      <c r="B51" s="20">
        <f>B47/B39</f>
        <v>6649.6000000000013</v>
      </c>
    </row>
    <row r="60" spans="1:5" x14ac:dyDescent="0.3">
      <c r="E60" s="7"/>
    </row>
    <row r="61" spans="1:5" x14ac:dyDescent="0.3">
      <c r="E61" s="7"/>
    </row>
    <row r="62" spans="1:5" x14ac:dyDescent="0.3">
      <c r="E62" s="7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9:N42"/>
  <sheetViews>
    <sheetView zoomScale="80" workbookViewId="0">
      <selection activeCell="C34" sqref="C34"/>
    </sheetView>
  </sheetViews>
  <sheetFormatPr defaultRowHeight="14.4" x14ac:dyDescent="0.3"/>
  <cols>
    <col min="2" max="2" width="40.77734375" bestFit="1" customWidth="1"/>
    <col min="3" max="3" width="19.109375" customWidth="1"/>
    <col min="4" max="4" width="27" bestFit="1" customWidth="1"/>
    <col min="5" max="5" width="30.77734375" bestFit="1" customWidth="1"/>
    <col min="6" max="6" width="23.5546875" bestFit="1" customWidth="1"/>
    <col min="7" max="7" width="12.88671875" bestFit="1" customWidth="1"/>
    <col min="8" max="8" width="30" bestFit="1" customWidth="1"/>
    <col min="9" max="10" width="30.44140625" bestFit="1" customWidth="1"/>
    <col min="11" max="11" width="16.5546875" bestFit="1" customWidth="1"/>
    <col min="12" max="12" width="27.109375" bestFit="1" customWidth="1"/>
    <col min="13" max="13" width="16.88671875" bestFit="1" customWidth="1"/>
    <col min="14" max="14" width="23.77734375" bestFit="1" customWidth="1"/>
  </cols>
  <sheetData>
    <row r="9" spans="2:14" x14ac:dyDescent="0.3">
      <c r="B9" s="1" t="s">
        <v>42</v>
      </c>
      <c r="C9" s="6" t="s">
        <v>3</v>
      </c>
      <c r="D9" s="6" t="s">
        <v>4</v>
      </c>
      <c r="E9" s="6" t="s">
        <v>8</v>
      </c>
      <c r="F9" s="6" t="s">
        <v>14</v>
      </c>
      <c r="G9" s="6" t="s">
        <v>16</v>
      </c>
      <c r="H9" s="6" t="s">
        <v>17</v>
      </c>
      <c r="I9" s="6" t="s">
        <v>20</v>
      </c>
      <c r="J9" s="6" t="s">
        <v>21</v>
      </c>
      <c r="K9" s="6" t="s">
        <v>37</v>
      </c>
      <c r="L9" s="6" t="s">
        <v>38</v>
      </c>
      <c r="M9" s="6" t="s">
        <v>44</v>
      </c>
      <c r="N9" s="6" t="s">
        <v>45</v>
      </c>
    </row>
    <row r="10" spans="2:14" x14ac:dyDescent="0.3">
      <c r="B10" s="1"/>
      <c r="C10" s="2" t="s">
        <v>22</v>
      </c>
      <c r="D10" s="2" t="s">
        <v>10</v>
      </c>
      <c r="E10" s="2" t="s">
        <v>11</v>
      </c>
      <c r="F10" s="2" t="s">
        <v>18</v>
      </c>
      <c r="G10" s="2"/>
      <c r="H10" s="2" t="s">
        <v>19</v>
      </c>
      <c r="I10" s="10" t="s">
        <v>11</v>
      </c>
      <c r="J10" s="2" t="s">
        <v>11</v>
      </c>
      <c r="K10" s="2"/>
      <c r="L10" s="2" t="s">
        <v>40</v>
      </c>
      <c r="M10" s="2" t="s">
        <v>43</v>
      </c>
      <c r="N10" s="10" t="s">
        <v>46</v>
      </c>
    </row>
    <row r="11" spans="2:14" x14ac:dyDescent="0.3">
      <c r="B11" t="s">
        <v>12</v>
      </c>
      <c r="C11" s="2">
        <v>2.12</v>
      </c>
      <c r="D11" s="2">
        <v>50000</v>
      </c>
      <c r="E11" s="2">
        <v>5</v>
      </c>
      <c r="I11" s="11"/>
      <c r="J11" s="7">
        <f t="shared" ref="J11:J16" si="0">E11+I11</f>
        <v>5</v>
      </c>
      <c r="K11">
        <v>27</v>
      </c>
      <c r="L11">
        <f>C11/K11</f>
        <v>7.8518518518518529E-2</v>
      </c>
      <c r="N11" s="11"/>
    </row>
    <row r="12" spans="2:14" x14ac:dyDescent="0.3">
      <c r="B12" t="s">
        <v>13</v>
      </c>
      <c r="C12" s="2">
        <v>1.1200000000000001</v>
      </c>
      <c r="D12" s="2">
        <v>14000</v>
      </c>
      <c r="E12" s="2">
        <v>1.5</v>
      </c>
      <c r="I12" s="11"/>
      <c r="J12" s="7">
        <f t="shared" si="0"/>
        <v>1.5</v>
      </c>
      <c r="K12">
        <v>27</v>
      </c>
      <c r="L12">
        <f t="shared" ref="L12:L16" si="1">C12/K12</f>
        <v>4.1481481481481487E-2</v>
      </c>
      <c r="N12" s="11"/>
    </row>
    <row r="13" spans="2:14" x14ac:dyDescent="0.3">
      <c r="B13" t="s">
        <v>1</v>
      </c>
      <c r="C13" s="2">
        <v>0.56000000000000005</v>
      </c>
      <c r="D13" s="2">
        <v>11300</v>
      </c>
      <c r="E13" s="2">
        <v>0</v>
      </c>
      <c r="I13" s="11"/>
      <c r="J13" s="7">
        <f t="shared" si="0"/>
        <v>0</v>
      </c>
      <c r="K13">
        <v>35</v>
      </c>
      <c r="L13">
        <f t="shared" si="1"/>
        <v>1.6E-2</v>
      </c>
      <c r="N13" s="11"/>
    </row>
    <row r="14" spans="2:14" x14ac:dyDescent="0.3">
      <c r="B14" t="s">
        <v>2</v>
      </c>
      <c r="C14" s="2">
        <v>1.93</v>
      </c>
      <c r="D14" s="2">
        <v>31500</v>
      </c>
      <c r="E14" s="2">
        <v>2.95</v>
      </c>
      <c r="F14" s="5">
        <v>0.46</v>
      </c>
      <c r="G14" s="3">
        <f>1/F14</f>
        <v>2.1739130434782608</v>
      </c>
      <c r="H14" s="3">
        <v>2.36246221083629</v>
      </c>
      <c r="I14" s="12">
        <f>H14*G14*3.6</f>
        <v>18.488834693501399</v>
      </c>
      <c r="J14" s="7">
        <f t="shared" si="0"/>
        <v>21.438834693501398</v>
      </c>
      <c r="K14" s="3">
        <v>25</v>
      </c>
      <c r="L14">
        <f t="shared" si="1"/>
        <v>7.7199999999999991E-2</v>
      </c>
      <c r="M14">
        <v>9.4369999999999996E-2</v>
      </c>
      <c r="N14" s="13">
        <f>M14*3.6*G14</f>
        <v>0.73854782608695646</v>
      </c>
    </row>
    <row r="15" spans="2:14" x14ac:dyDescent="0.3">
      <c r="B15" t="s">
        <v>7</v>
      </c>
      <c r="C15" s="2">
        <v>1.3</v>
      </c>
      <c r="D15" s="2">
        <v>29300</v>
      </c>
      <c r="E15" s="2">
        <v>4.4000000000000004</v>
      </c>
      <c r="F15" s="5">
        <v>0.51</v>
      </c>
      <c r="G15" s="3">
        <f t="shared" ref="G15:G16" si="2">1/F15</f>
        <v>1.9607843137254901</v>
      </c>
      <c r="H15" s="3">
        <v>5.0462416510206998</v>
      </c>
      <c r="I15" s="12">
        <f>H15*G15*3.6</f>
        <v>35.620529301322584</v>
      </c>
      <c r="J15" s="7">
        <f t="shared" si="0"/>
        <v>40.020529301322583</v>
      </c>
      <c r="K15" s="3">
        <v>25</v>
      </c>
      <c r="L15">
        <f t="shared" si="1"/>
        <v>5.2000000000000005E-2</v>
      </c>
      <c r="M15">
        <v>5.7000000000000002E-2</v>
      </c>
      <c r="N15" s="13">
        <f>M15*3.6*G15</f>
        <v>0.40235294117647064</v>
      </c>
    </row>
    <row r="16" spans="2:14" x14ac:dyDescent="0.3">
      <c r="B16" t="s">
        <v>15</v>
      </c>
      <c r="C16" s="2">
        <v>2.38</v>
      </c>
      <c r="D16" s="2">
        <v>66000</v>
      </c>
      <c r="E16" s="2">
        <v>1.73</v>
      </c>
      <c r="F16" s="5">
        <v>0.30095499999999997</v>
      </c>
      <c r="G16" s="3">
        <f t="shared" si="2"/>
        <v>3.3227558937382669</v>
      </c>
      <c r="H16">
        <v>9.4671105511953915</v>
      </c>
      <c r="I16" s="12">
        <f t="shared" ref="I16" si="3">H16*G16*3.6</f>
        <v>113.2448305703624</v>
      </c>
      <c r="J16" s="7">
        <f t="shared" si="0"/>
        <v>114.9748305703624</v>
      </c>
      <c r="K16" s="3">
        <v>25</v>
      </c>
      <c r="L16">
        <f t="shared" si="1"/>
        <v>9.5199999999999993E-2</v>
      </c>
      <c r="M16">
        <v>0</v>
      </c>
      <c r="N16" s="11">
        <v>0</v>
      </c>
    </row>
    <row r="17" spans="2:11" x14ac:dyDescent="0.3">
      <c r="G17" s="3"/>
      <c r="H17" s="3"/>
      <c r="I17" s="3"/>
      <c r="J17" s="3"/>
      <c r="K17" s="3"/>
    </row>
    <row r="22" spans="2:11" x14ac:dyDescent="0.3">
      <c r="B22" s="1" t="s">
        <v>5</v>
      </c>
      <c r="C22" s="1" t="s">
        <v>23</v>
      </c>
      <c r="D22" s="1" t="s">
        <v>24</v>
      </c>
      <c r="E22" s="1" t="s">
        <v>39</v>
      </c>
      <c r="F22" s="1" t="s">
        <v>25</v>
      </c>
      <c r="G22" s="1" t="s">
        <v>4</v>
      </c>
      <c r="H22" s="1" t="s">
        <v>34</v>
      </c>
      <c r="I22" s="1" t="s">
        <v>35</v>
      </c>
      <c r="J22" s="1" t="s">
        <v>33</v>
      </c>
      <c r="K22" s="1" t="s">
        <v>37</v>
      </c>
    </row>
    <row r="23" spans="2:11" x14ac:dyDescent="0.3">
      <c r="C23" s="1"/>
      <c r="D23" s="1"/>
      <c r="E23" s="1"/>
      <c r="F23" t="s">
        <v>11</v>
      </c>
      <c r="G23" t="s">
        <v>10</v>
      </c>
      <c r="H23" t="s">
        <v>36</v>
      </c>
      <c r="I23" t="s">
        <v>22</v>
      </c>
    </row>
    <row r="24" spans="2:11" x14ac:dyDescent="0.3">
      <c r="B24" t="s">
        <v>6</v>
      </c>
      <c r="C24" s="9">
        <f>98/100</f>
        <v>0.98</v>
      </c>
      <c r="D24" s="9">
        <f>97/100</f>
        <v>0.97</v>
      </c>
      <c r="E24" s="9">
        <f>0.1/100</f>
        <v>1E-3</v>
      </c>
      <c r="F24" s="8">
        <v>2</v>
      </c>
      <c r="G24">
        <f>0.54*1000</f>
        <v>540</v>
      </c>
      <c r="H24">
        <v>0.23200000000000001</v>
      </c>
      <c r="I24">
        <v>0.27</v>
      </c>
      <c r="J24">
        <v>14000</v>
      </c>
      <c r="K24">
        <v>15</v>
      </c>
    </row>
    <row r="25" spans="2:11" x14ac:dyDescent="0.3">
      <c r="C25" s="9"/>
      <c r="D25" s="9"/>
      <c r="E25" s="9"/>
    </row>
    <row r="30" spans="2:11" x14ac:dyDescent="0.3">
      <c r="I30" t="s">
        <v>47</v>
      </c>
      <c r="J30" t="s">
        <v>48</v>
      </c>
      <c r="K30" t="s">
        <v>49</v>
      </c>
    </row>
    <row r="33" spans="2:4" x14ac:dyDescent="0.3">
      <c r="D33" t="s">
        <v>41</v>
      </c>
    </row>
    <row r="34" spans="2:4" x14ac:dyDescent="0.3">
      <c r="B34" t="s">
        <v>26</v>
      </c>
      <c r="C34">
        <v>1.288</v>
      </c>
      <c r="D34" s="1">
        <f>SUM(D35:D37)</f>
        <v>1.288</v>
      </c>
    </row>
    <row r="35" spans="2:4" x14ac:dyDescent="0.3">
      <c r="B35" t="s">
        <v>27</v>
      </c>
      <c r="C35">
        <v>0.308</v>
      </c>
      <c r="D35">
        <f>C35</f>
        <v>0.308</v>
      </c>
    </row>
    <row r="36" spans="2:4" x14ac:dyDescent="0.3">
      <c r="B36" t="s">
        <v>28</v>
      </c>
      <c r="C36">
        <v>0.28999999999999998</v>
      </c>
      <c r="D36">
        <f>C36*3</f>
        <v>0.86999999999999988</v>
      </c>
    </row>
    <row r="37" spans="2:4" x14ac:dyDescent="0.3">
      <c r="B37" t="s">
        <v>29</v>
      </c>
      <c r="C37">
        <v>0.11</v>
      </c>
      <c r="D37">
        <f>C37</f>
        <v>0.11</v>
      </c>
    </row>
    <row r="40" spans="2:4" x14ac:dyDescent="0.3">
      <c r="B40" t="s">
        <v>30</v>
      </c>
      <c r="C40">
        <v>0.41799999999999998</v>
      </c>
    </row>
    <row r="41" spans="2:4" x14ac:dyDescent="0.3">
      <c r="B41" t="s">
        <v>31</v>
      </c>
      <c r="C41">
        <v>0.28999999999999998</v>
      </c>
    </row>
    <row r="42" spans="2:4" x14ac:dyDescent="0.3">
      <c r="B42" t="s">
        <v>32</v>
      </c>
      <c r="C42">
        <v>0.39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62"/>
  <sheetViews>
    <sheetView tabSelected="1" zoomScale="91" zoomScaleNormal="145" workbookViewId="0">
      <selection activeCell="D13" sqref="D13"/>
    </sheetView>
  </sheetViews>
  <sheetFormatPr defaultRowHeight="14.4" x14ac:dyDescent="0.3"/>
  <cols>
    <col min="1" max="1" width="36.21875" bestFit="1" customWidth="1"/>
    <col min="2" max="2" width="18" bestFit="1" customWidth="1"/>
    <col min="3" max="3" width="17.88671875" bestFit="1" customWidth="1"/>
    <col min="4" max="4" width="31.77734375" bestFit="1" customWidth="1"/>
    <col min="5" max="5" width="27.88671875" bestFit="1" customWidth="1"/>
    <col min="6" max="6" width="21.33203125" bestFit="1" customWidth="1"/>
    <col min="7" max="7" width="29.44140625" bestFit="1" customWidth="1"/>
    <col min="8" max="8" width="30" bestFit="1" customWidth="1"/>
    <col min="9" max="9" width="29.33203125" bestFit="1" customWidth="1"/>
    <col min="10" max="10" width="15.77734375" bestFit="1" customWidth="1"/>
    <col min="11" max="11" width="26.33203125" bestFit="1" customWidth="1"/>
    <col min="12" max="12" width="16.109375" bestFit="1" customWidth="1"/>
    <col min="13" max="13" width="22.77734375" bestFit="1" customWidth="1"/>
  </cols>
  <sheetData>
    <row r="2" spans="1:8" x14ac:dyDescent="0.3">
      <c r="A2" t="s">
        <v>91</v>
      </c>
      <c r="D2" t="s">
        <v>95</v>
      </c>
      <c r="G2" s="1" t="s">
        <v>117</v>
      </c>
    </row>
    <row r="3" spans="1:8" x14ac:dyDescent="0.3">
      <c r="A3" t="s">
        <v>19</v>
      </c>
      <c r="B3" t="s">
        <v>93</v>
      </c>
      <c r="D3" t="s">
        <v>43</v>
      </c>
      <c r="G3" t="s">
        <v>115</v>
      </c>
      <c r="H3">
        <v>1.0390000000000001</v>
      </c>
    </row>
    <row r="4" spans="1:8" x14ac:dyDescent="0.3">
      <c r="B4" s="11">
        <v>2030</v>
      </c>
      <c r="G4" t="s">
        <v>116</v>
      </c>
      <c r="H4">
        <v>0.9154185022026432</v>
      </c>
    </row>
    <row r="5" spans="1:8" x14ac:dyDescent="0.3">
      <c r="A5" s="1" t="s">
        <v>51</v>
      </c>
      <c r="B5" s="7">
        <f>VLOOKUP(A5,Prices!A15:H21,MATCH('Simulering scenarie 1'!B4,Prices!A15:H15,0),FALSE)*IF(B4&gt;2021,H4,1)</f>
        <v>4.5586612660024244</v>
      </c>
      <c r="D5" s="1" t="s">
        <v>51</v>
      </c>
      <c r="E5">
        <v>9.4200000000000006E-2</v>
      </c>
    </row>
    <row r="6" spans="1:8" x14ac:dyDescent="0.3">
      <c r="A6" s="1" t="s">
        <v>52</v>
      </c>
      <c r="B6" s="7">
        <f>VLOOKUP(A6,Prices!A15:H21,MATCH('Simulering scenarie 1'!B4,Prices!A15:H15,0),FALSE)*IF(B4&gt;2021,H4,1)</f>
        <v>9.5350974189161217</v>
      </c>
      <c r="D6" s="1" t="s">
        <v>52</v>
      </c>
      <c r="E6">
        <v>5.5469999999999998E-2</v>
      </c>
    </row>
    <row r="7" spans="1:8" x14ac:dyDescent="0.3">
      <c r="A7" s="16" t="s">
        <v>59</v>
      </c>
      <c r="B7" s="7"/>
      <c r="D7" s="1" t="s">
        <v>59</v>
      </c>
    </row>
    <row r="8" spans="1:8" x14ac:dyDescent="0.3">
      <c r="A8" s="1" t="s">
        <v>54</v>
      </c>
      <c r="B8" s="7">
        <f>VLOOKUP(A8,Prices!A15:H21,MATCH('Simulering scenarie 1'!B4,Prices!A15:H15,0),FALSE)*IF(B4&gt;2021,H4,1)</f>
        <v>7.6551104278153925</v>
      </c>
      <c r="D8" s="1" t="s">
        <v>54</v>
      </c>
      <c r="E8">
        <v>0.112</v>
      </c>
    </row>
    <row r="9" spans="1:8" x14ac:dyDescent="0.3">
      <c r="A9" s="1" t="s">
        <v>55</v>
      </c>
      <c r="B9" s="7">
        <f>VLOOKUP(A9,Prices!A15:H21,MATCH('Simulering scenarie 1'!B4,Prices!A15:H15,0),FALSE)*IF(B4&gt;2021,H4,1)</f>
        <v>10.14947225260917</v>
      </c>
      <c r="D9" s="1" t="s">
        <v>55</v>
      </c>
      <c r="E9">
        <v>0.112</v>
      </c>
      <c r="F9" t="s">
        <v>98</v>
      </c>
    </row>
    <row r="10" spans="1:8" x14ac:dyDescent="0.3">
      <c r="A10" s="1" t="s">
        <v>56</v>
      </c>
      <c r="B10" s="7">
        <f>VLOOKUP(A10,Prices!A15:H21,MATCH('Simulering scenarie 1'!B4,Prices!A15:H15,0),FALSE)*IF(B4&gt;2021,H4,1)</f>
        <v>6.5123732371463205</v>
      </c>
      <c r="D10" s="1" t="s">
        <v>56</v>
      </c>
      <c r="E10">
        <v>0.1</v>
      </c>
    </row>
    <row r="13" spans="1:8" x14ac:dyDescent="0.3">
      <c r="B13" s="2" t="s">
        <v>92</v>
      </c>
    </row>
    <row r="14" spans="1:8" x14ac:dyDescent="0.3">
      <c r="A14" s="1" t="s">
        <v>42</v>
      </c>
      <c r="B14" s="11">
        <v>2020</v>
      </c>
    </row>
    <row r="15" spans="1:8" x14ac:dyDescent="0.3">
      <c r="B15" s="1" t="s">
        <v>82</v>
      </c>
      <c r="C15" s="1" t="s">
        <v>86</v>
      </c>
      <c r="D15" s="1" t="s">
        <v>90</v>
      </c>
      <c r="E15" s="1" t="s">
        <v>88</v>
      </c>
      <c r="F15" s="1" t="s">
        <v>89</v>
      </c>
      <c r="G15" s="1" t="s">
        <v>87</v>
      </c>
    </row>
    <row r="16" spans="1:8" x14ac:dyDescent="0.3">
      <c r="A16" t="s">
        <v>84</v>
      </c>
      <c r="B16">
        <f>VLOOKUP(A16,'Tech - electricity plants'!A5:F12,MATCH('Simulering scenarie 1'!B14,'Tech - electricity plants'!A5:F5,0),FALSE)</f>
        <v>0.48499999999999999</v>
      </c>
      <c r="C16">
        <f>VLOOKUP(A16,'Tech - electricity plants'!A15:F22,MATCH('Simulering scenarie 1'!B14,'Tech - electricity plants'!A15:F15,0),FALSE)</f>
        <v>0.51</v>
      </c>
      <c r="D16" s="7">
        <f>VLOOKUP(A16,'Tech - electricity plants'!A55:F62,MATCH('Simulering scenarie 1'!B14,'Tech - electricity plants'!A55:F55,0),FALSE)</f>
        <v>0.30095499999999997</v>
      </c>
    </row>
    <row r="18" spans="1:12" x14ac:dyDescent="0.3">
      <c r="A18" t="s">
        <v>37</v>
      </c>
      <c r="B18">
        <f>VLOOKUP(A18,'Tech - electricity plants'!A5:F12,MATCH('Simulering scenarie 1'!B14,'Tech - electricity plants'!A5:F5,0),FALSE)</f>
        <v>25</v>
      </c>
      <c r="C18">
        <f>VLOOKUP(A18,'Tech - electricity plants'!A15:F22,MATCH('Simulering scenarie 1'!B14,'Tech - electricity plants'!A15:F15,0),FALSE)</f>
        <v>25</v>
      </c>
      <c r="D18">
        <f>VLOOKUP(A18,'Tech - electricity plants'!A55:F62,MATCH('Simulering scenarie 1'!B14,'Tech - electricity plants'!A55:F55,0),FALSE)</f>
        <v>25</v>
      </c>
      <c r="E18">
        <f>VLOOKUP(A18,'Tech - electricity plants'!A35:F42,MATCH('Simulering scenarie 1'!B14,'Tech - electricity plants'!A35:F35,0),FALSE)</f>
        <v>27</v>
      </c>
      <c r="F18">
        <f>VLOOKUP(A18,'Tech - electricity plants'!A45:F52,MATCH('Simulering scenarie 1'!B14,'Tech - electricity plants'!A45:F45,0),FALSE)</f>
        <v>27</v>
      </c>
      <c r="G18">
        <f>VLOOKUP(A18,'Tech - electricity plants'!A25:F32,MATCH('Simulering scenarie 1'!B14,'Tech - electricity plants'!A25:F25,0),FALSE)</f>
        <v>35</v>
      </c>
    </row>
    <row r="20" spans="1:12" x14ac:dyDescent="0.3">
      <c r="A20" t="s">
        <v>69</v>
      </c>
      <c r="B20" s="19">
        <f>VLOOKUP(A20,'Tech - electricity plants'!A5:F12,MATCH('Simulering scenarie 1'!B14,'Tech - electricity plants'!A5:F5,0),FALSE)*H3</f>
        <v>3.0131000000000001</v>
      </c>
      <c r="C20" s="19">
        <f>VLOOKUP(A20,'Tech - electricity plants'!A15:F22,MATCH('Simulering scenarie 1'!B14,'Tech - electricity plants'!A15:F15,0),FALSE)*H3</f>
        <v>4.571600000000001</v>
      </c>
      <c r="D20" s="19">
        <f>VLOOKUP(A20,'Tech - electricity plants'!A55:F62,MATCH('Simulering scenarie 1'!B14,'Tech - electricity plants'!A55:F55,0),FALSE)*H3</f>
        <v>1.7974700000000001</v>
      </c>
      <c r="E20" s="19">
        <f>VLOOKUP(A20,'Tech - electricity plants'!A35:F42,MATCH('Simulering scenarie 1'!B14,'Tech - electricity plants'!A35:F35,0),FALSE)*H3</f>
        <v>1.5585000000000002</v>
      </c>
      <c r="F20" s="19">
        <f>VLOOKUP(A20,'Tech - electricity plants'!A45:F52,MATCH('Simulering scenarie 1'!B14,'Tech - electricity plants'!A45:F45,0),FALSE)*H3</f>
        <v>5.1950000000000003</v>
      </c>
      <c r="G20" s="19">
        <f>VLOOKUP(A20,'Tech - electricity plants'!A25:F32,MATCH('Simulering scenarie 1'!B14,'Tech - electricity plants'!A25:F25,0),FALSE)</f>
        <v>0</v>
      </c>
    </row>
    <row r="21" spans="1:12" x14ac:dyDescent="0.3">
      <c r="A21" t="s">
        <v>94</v>
      </c>
      <c r="B21" s="19">
        <f>1/B16*3.6*B5</f>
        <v>33.837485685791194</v>
      </c>
      <c r="C21" s="19">
        <f>1/C16*3.6*B6</f>
        <v>67.306570015878506</v>
      </c>
      <c r="D21" s="19">
        <f>1/D16*3.6*B9</f>
        <v>121.40718748448444</v>
      </c>
      <c r="E21" s="19"/>
      <c r="F21" s="19"/>
      <c r="G21" s="19"/>
    </row>
    <row r="22" spans="1:12" x14ac:dyDescent="0.3">
      <c r="A22" t="s">
        <v>96</v>
      </c>
      <c r="B22" s="19">
        <f>B21+B20</f>
        <v>36.850585685791195</v>
      </c>
      <c r="C22" s="19">
        <f>C21+C20</f>
        <v>71.87817001587851</v>
      </c>
      <c r="D22" s="19">
        <f>D21+D20</f>
        <v>123.20465748448444</v>
      </c>
      <c r="E22" s="19">
        <f>E21+E20</f>
        <v>1.5585000000000002</v>
      </c>
      <c r="F22" s="19">
        <f>F21+F20</f>
        <v>5.1950000000000003</v>
      </c>
      <c r="G22" s="19">
        <v>0</v>
      </c>
    </row>
    <row r="23" spans="1:12" x14ac:dyDescent="0.3">
      <c r="A23" t="s">
        <v>70</v>
      </c>
      <c r="B23" s="19">
        <f>VLOOKUP(A23,'Tech - electricity plants'!A5:F12,MATCH('Simulering scenarie 1'!B14,'Tech - electricity plants'!A5:F5,0),FALSE)*H3</f>
        <v>32209.000000000004</v>
      </c>
      <c r="C23" s="19">
        <f>VLOOKUP(A23,'Tech - electricity plants'!A15:F22,MATCH('Simulering scenarie 1'!B14,'Tech - electricity plants'!A15:F15,0),FALSE)*H3</f>
        <v>30442.700000000004</v>
      </c>
      <c r="D23" s="19">
        <f>VLOOKUP(A23,'Tech - electricity plants'!A55:F62,MATCH('Simulering scenarie 1'!B14,'Tech - electricity plants'!A55:F55,0),FALSE)*H3</f>
        <v>68574.000000000015</v>
      </c>
      <c r="E23" s="19">
        <f>VLOOKUP(A23,'Tech - electricity plants'!A35:F42,MATCH('Simulering scenarie 1'!B14,'Tech - electricity plants'!A35:F35,0),FALSE)*H3</f>
        <v>14546.000000000002</v>
      </c>
      <c r="F23" s="19">
        <f>VLOOKUP(A23,'Tech - electricity plants'!A45:F52,MATCH('Simulering scenarie 1'!B14,'Tech - electricity plants'!A45:F45,0),FALSE)*H3</f>
        <v>51950.000000000007</v>
      </c>
      <c r="G23" s="19">
        <f>VLOOKUP(A23,'Tech - electricity plants'!A25:F32,MATCH('Simulering scenarie 1'!B14,'Tech - electricity plants'!A25:F25,0),FALSE)*H3</f>
        <v>11740.700000000003</v>
      </c>
    </row>
    <row r="24" spans="1:12" x14ac:dyDescent="0.3">
      <c r="A24" t="s">
        <v>100</v>
      </c>
      <c r="B24" s="19">
        <f>B25/B18</f>
        <v>78964.000000000015</v>
      </c>
      <c r="C24" s="19">
        <f t="shared" ref="C24:G24" si="0">C25/C18</f>
        <v>54028.000000000007</v>
      </c>
      <c r="D24" s="19">
        <f t="shared" si="0"/>
        <v>98912.800000000017</v>
      </c>
      <c r="E24" s="19">
        <f t="shared" si="0"/>
        <v>43099.25925925927</v>
      </c>
      <c r="F24" s="19">
        <f t="shared" si="0"/>
        <v>81580.740740740759</v>
      </c>
      <c r="G24" s="19">
        <f t="shared" si="0"/>
        <v>16624.000000000004</v>
      </c>
    </row>
    <row r="25" spans="1:12" x14ac:dyDescent="0.3">
      <c r="A25" t="s">
        <v>85</v>
      </c>
      <c r="B25" s="19">
        <f>VLOOKUP(A25,'Tech - electricity plants'!A5:F12,MATCH('Simulering scenarie 1'!B14,'Tech - electricity plants'!A5:F5,0),FALSE)*1000000*H3</f>
        <v>1974100.0000000002</v>
      </c>
      <c r="C25" s="19">
        <f>VLOOKUP(A25,'Tech - electricity plants'!A15:F22,MATCH('Simulering scenarie 1'!B14,'Tech - electricity plants'!A15:F15,0),FALSE)*1000000*H3</f>
        <v>1350700.0000000002</v>
      </c>
      <c r="D25" s="19">
        <f>VLOOKUP(A25,'Tech - electricity plants'!A55:F62,MATCH('Simulering scenarie 1'!B14,'Tech - electricity plants'!A55:F55,0),FALSE)*1000000*H3</f>
        <v>2472820.0000000005</v>
      </c>
      <c r="E25" s="19">
        <f>VLOOKUP(A25,'Tech - electricity plants'!A35:F42,MATCH('Simulering scenarie 1'!B14,'Tech - electricity plants'!A35:F35,0),FALSE)*1000000*H3</f>
        <v>1163680.0000000002</v>
      </c>
      <c r="F25" s="19">
        <f>VLOOKUP(A25,'Tech - electricity plants'!A45:F52,MATCH('Simulering scenarie 1'!B14,'Tech - electricity plants'!A45:F45,0),FALSE)*1000000*H3</f>
        <v>2202680.0000000005</v>
      </c>
      <c r="G25" s="19">
        <f>VLOOKUP(A25,'Tech - electricity plants'!A25:F32,MATCH('Simulering scenarie 1'!B14,'Tech - electricity plants'!A25:F25,0),FALSE)*1000000*H3</f>
        <v>581840.00000000012</v>
      </c>
    </row>
    <row r="26" spans="1:12" x14ac:dyDescent="0.3">
      <c r="B26" s="19"/>
      <c r="C26" s="19"/>
      <c r="D26" s="19"/>
      <c r="E26" s="19"/>
      <c r="F26" s="19"/>
      <c r="G26" s="19"/>
    </row>
    <row r="27" spans="1:12" x14ac:dyDescent="0.3">
      <c r="B27" s="19"/>
      <c r="C27" s="19"/>
      <c r="D27" s="19"/>
      <c r="E27" s="19"/>
      <c r="F27" s="19"/>
    </row>
    <row r="28" spans="1:12" x14ac:dyDescent="0.3">
      <c r="A28" t="s">
        <v>97</v>
      </c>
      <c r="B28" s="19">
        <f>1/B16*E5*3.6</f>
        <v>0.69921649484536097</v>
      </c>
      <c r="C28" s="19">
        <f>1/C16*E6*3.6</f>
        <v>0.39155294117647055</v>
      </c>
      <c r="D28" s="19"/>
      <c r="E28" s="19"/>
      <c r="F28" s="19"/>
    </row>
    <row r="30" spans="1:12" x14ac:dyDescent="0.3">
      <c r="L30">
        <v>15.3</v>
      </c>
    </row>
    <row r="31" spans="1:12" x14ac:dyDescent="0.3">
      <c r="B31" t="s">
        <v>99</v>
      </c>
    </row>
    <row r="32" spans="1:12" x14ac:dyDescent="0.3">
      <c r="B32" s="11">
        <v>2020</v>
      </c>
    </row>
    <row r="33" spans="1:2" x14ac:dyDescent="0.3">
      <c r="B33" s="1" t="s">
        <v>64</v>
      </c>
    </row>
    <row r="34" spans="1:2" x14ac:dyDescent="0.3">
      <c r="A34" s="1" t="s">
        <v>65</v>
      </c>
      <c r="B34">
        <f>VLOOKUP(A34,'Tech - energi storage'!A5:E20,MATCH('Simulering scenarie 1'!B32,'Tech - energi storage'!A5:E5,0),FALSE)</f>
        <v>91</v>
      </c>
    </row>
    <row r="35" spans="1:2" x14ac:dyDescent="0.3">
      <c r="A35" s="1" t="s">
        <v>66</v>
      </c>
      <c r="B35">
        <f>VLOOKUP(A35,'Tech - energi storage'!A5:E20,MATCH('Simulering scenarie 1'!B32,'Tech - energi storage'!A5:E5,0),FALSE)</f>
        <v>95</v>
      </c>
    </row>
    <row r="36" spans="1:2" x14ac:dyDescent="0.3">
      <c r="A36" t="s">
        <v>73</v>
      </c>
      <c r="B36">
        <f>VLOOKUP(A36,'Tech - energi storage'!A5:E20,MATCH('Simulering scenarie 1'!B32,'Tech - energi storage'!A5:E5,0),FALSE)</f>
        <v>98</v>
      </c>
    </row>
    <row r="37" spans="1:2" x14ac:dyDescent="0.3">
      <c r="A37" t="s">
        <v>67</v>
      </c>
      <c r="B37">
        <f>VLOOKUP(A37,'Tech - energi storage'!A5:E20,MATCH('Simulering scenarie 1'!B32,'Tech - energi storage'!A5:E5,0),FALSE)</f>
        <v>97</v>
      </c>
    </row>
    <row r="38" spans="1:2" x14ac:dyDescent="0.3">
      <c r="A38" s="1"/>
    </row>
    <row r="39" spans="1:2" x14ac:dyDescent="0.3">
      <c r="A39" s="1" t="s">
        <v>37</v>
      </c>
      <c r="B39">
        <f>VLOOKUP(A39,'Tech - energi storage'!A5:E20,MATCH('Simulering scenarie 1'!B32,'Tech - energi storage'!A5:E5,0),FALSE)</f>
        <v>20</v>
      </c>
    </row>
    <row r="40" spans="1:2" x14ac:dyDescent="0.3">
      <c r="A40" s="1" t="s">
        <v>33</v>
      </c>
      <c r="B40">
        <f>VLOOKUP(A40,'Tech - energi storage'!A5:E20,MATCH('Simulering scenarie 1'!B32,'Tech - energi storage'!A5:E5,0),FALSE)</f>
        <v>14000</v>
      </c>
    </row>
    <row r="42" spans="1:2" x14ac:dyDescent="0.3">
      <c r="A42" s="1" t="s">
        <v>69</v>
      </c>
      <c r="B42">
        <f>VLOOKUP(A42,'Tech - energi storage'!A5:E20,MATCH('Simulering scenarie 1'!B32,'Tech - energi storage'!A5:E5,0),FALSE)*H3</f>
        <v>2.0780000000000003</v>
      </c>
    </row>
    <row r="43" spans="1:2" x14ac:dyDescent="0.3">
      <c r="A43" s="1" t="s">
        <v>71</v>
      </c>
      <c r="B43">
        <f>VLOOKUP(A43,'Tech - energi storage'!A5:E20,MATCH('Simulering scenarie 1'!B32,'Tech - energi storage'!A5:E5,0),FALSE)*1000*H3</f>
        <v>561.06000000000006</v>
      </c>
    </row>
    <row r="44" spans="1:2" x14ac:dyDescent="0.3">
      <c r="A44" s="1"/>
    </row>
    <row r="45" spans="1:2" x14ac:dyDescent="0.3">
      <c r="A45" s="1" t="s">
        <v>72</v>
      </c>
      <c r="B45" s="4">
        <f>VLOOKUP(A45,'Tech - energi storage'!A5:E20,MATCH('Simulering scenarie 1'!B32,'Tech - energi storage'!A5:E5,0),FALSE)*1000000*H3</f>
        <v>1082638.0000000002</v>
      </c>
    </row>
    <row r="46" spans="1:2" x14ac:dyDescent="0.3">
      <c r="A46" t="s">
        <v>74</v>
      </c>
      <c r="B46" s="4">
        <f>VLOOKUP(A46,'Tech - energi storage'!A5:E20,MATCH('Simulering scenarie 1'!B32,'Tech - energi storage'!A5:E5,0),FALSE)*1000000*H3</f>
        <v>137148.00000000003</v>
      </c>
    </row>
    <row r="47" spans="1:2" x14ac:dyDescent="0.3">
      <c r="A47" t="s">
        <v>75</v>
      </c>
      <c r="B47" s="4">
        <f>VLOOKUP(A47,'Tech - energi storage'!A5:E20,MATCH('Simulering scenarie 1'!B32,'Tech - energi storage'!A5:E5,0),FALSE)*1000000*H3</f>
        <v>280530.00000000006</v>
      </c>
    </row>
    <row r="48" spans="1:2" x14ac:dyDescent="0.3">
      <c r="A48" t="s">
        <v>76</v>
      </c>
      <c r="B48" s="4">
        <f>VLOOKUP(A48,'Tech - energi storage'!A5:E20,MATCH('Simulering scenarie 1'!B32,'Tech - energi storage'!A5:E5,0),FALSE)*1000000*H3</f>
        <v>103900.00000000001</v>
      </c>
    </row>
    <row r="50" spans="1:5" x14ac:dyDescent="0.3">
      <c r="A50" t="s">
        <v>101</v>
      </c>
      <c r="B50" s="20">
        <f>(B48+B46)/B39</f>
        <v>12052.400000000003</v>
      </c>
    </row>
    <row r="51" spans="1:5" x14ac:dyDescent="0.3">
      <c r="A51" t="s">
        <v>102</v>
      </c>
      <c r="B51" s="20">
        <f>B47/B39</f>
        <v>14026.500000000004</v>
      </c>
    </row>
    <row r="60" spans="1:5" x14ac:dyDescent="0.3">
      <c r="E60" s="7"/>
    </row>
    <row r="61" spans="1:5" x14ac:dyDescent="0.3">
      <c r="E61" s="7"/>
    </row>
    <row r="62" spans="1:5" x14ac:dyDescent="0.3">
      <c r="E62" s="7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49" workbookViewId="0">
      <selection activeCell="B11" sqref="B11"/>
    </sheetView>
  </sheetViews>
  <sheetFormatPr defaultRowHeight="14.4" x14ac:dyDescent="0.3"/>
  <cols>
    <col min="1" max="1" width="40.6640625" style="22" customWidth="1"/>
    <col min="2" max="9" width="7" style="22" customWidth="1"/>
    <col min="10" max="16384" width="8.88671875" style="22"/>
  </cols>
  <sheetData>
    <row r="1" spans="1:9" ht="17.399999999999999" x14ac:dyDescent="0.35">
      <c r="A1" s="21" t="s">
        <v>103</v>
      </c>
    </row>
    <row r="2" spans="1:9" x14ac:dyDescent="0.3">
      <c r="A2" s="23" t="s">
        <v>104</v>
      </c>
    </row>
    <row r="3" spans="1:9" x14ac:dyDescent="0.3">
      <c r="B3" s="24" t="s">
        <v>105</v>
      </c>
      <c r="C3" s="24" t="s">
        <v>106</v>
      </c>
      <c r="D3" s="24" t="s">
        <v>107</v>
      </c>
      <c r="E3" s="24" t="s">
        <v>108</v>
      </c>
      <c r="F3" s="24" t="s">
        <v>109</v>
      </c>
      <c r="G3" s="24" t="s">
        <v>110</v>
      </c>
      <c r="H3" s="24" t="s">
        <v>111</v>
      </c>
      <c r="I3" s="24" t="s">
        <v>112</v>
      </c>
    </row>
    <row r="4" spans="1:9" x14ac:dyDescent="0.3">
      <c r="A4" s="24" t="s">
        <v>113</v>
      </c>
      <c r="B4" s="25">
        <v>100</v>
      </c>
      <c r="C4" s="25">
        <v>100.5</v>
      </c>
      <c r="D4" s="25">
        <v>101.7</v>
      </c>
      <c r="E4" s="25">
        <v>102.6</v>
      </c>
      <c r="F4" s="25">
        <v>103.5</v>
      </c>
      <c r="G4" s="25">
        <v>103.9</v>
      </c>
      <c r="H4" s="25">
        <v>105.4</v>
      </c>
      <c r="I4" s="25">
        <v>113.5</v>
      </c>
    </row>
    <row r="6" spans="1:9" ht="72" x14ac:dyDescent="0.3">
      <c r="A6" s="26" t="s">
        <v>114</v>
      </c>
    </row>
    <row r="9" spans="1:9" x14ac:dyDescent="0.3">
      <c r="A9" s="22" t="s">
        <v>115</v>
      </c>
      <c r="B9" s="22">
        <f>G4/B4</f>
        <v>1.0390000000000001</v>
      </c>
    </row>
    <row r="10" spans="1:9" x14ac:dyDescent="0.3">
      <c r="A10" s="22" t="s">
        <v>116</v>
      </c>
      <c r="B10" s="22">
        <f>G4/I4</f>
        <v>0.9154185022026432</v>
      </c>
    </row>
  </sheetData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30" zoomScaleNormal="130" workbookViewId="0">
      <selection activeCell="L7" sqref="L7"/>
    </sheetView>
  </sheetViews>
  <sheetFormatPr defaultRowHeight="14.4" x14ac:dyDescent="0.3"/>
  <cols>
    <col min="1" max="1" width="41.6640625" bestFit="1" customWidth="1"/>
  </cols>
  <sheetData>
    <row r="1" spans="1:10" x14ac:dyDescent="0.3">
      <c r="A1" t="s">
        <v>77</v>
      </c>
    </row>
    <row r="2" spans="1:10" x14ac:dyDescent="0.3">
      <c r="A2" t="s">
        <v>68</v>
      </c>
    </row>
    <row r="4" spans="1:10" x14ac:dyDescent="0.3">
      <c r="A4" s="1" t="s">
        <v>64</v>
      </c>
      <c r="G4" s="28" t="s">
        <v>78</v>
      </c>
      <c r="H4" s="28"/>
      <c r="I4" s="28" t="s">
        <v>81</v>
      </c>
      <c r="J4" s="28"/>
    </row>
    <row r="5" spans="1:10" x14ac:dyDescent="0.3">
      <c r="B5" s="1">
        <v>2020</v>
      </c>
      <c r="C5" s="1">
        <v>2030</v>
      </c>
      <c r="D5" s="1">
        <v>2040</v>
      </c>
      <c r="E5" s="1">
        <v>2050</v>
      </c>
      <c r="F5" s="1"/>
      <c r="G5" s="1" t="s">
        <v>79</v>
      </c>
      <c r="H5" s="1" t="s">
        <v>80</v>
      </c>
      <c r="I5" s="1" t="s">
        <v>79</v>
      </c>
      <c r="J5" s="1" t="s">
        <v>80</v>
      </c>
    </row>
    <row r="6" spans="1:10" x14ac:dyDescent="0.3">
      <c r="A6" s="1" t="s">
        <v>65</v>
      </c>
      <c r="B6">
        <v>91</v>
      </c>
      <c r="C6">
        <v>92</v>
      </c>
      <c r="D6">
        <v>92</v>
      </c>
      <c r="E6">
        <v>92</v>
      </c>
      <c r="G6">
        <v>90</v>
      </c>
      <c r="H6">
        <v>92</v>
      </c>
      <c r="I6">
        <v>91</v>
      </c>
      <c r="J6">
        <v>94</v>
      </c>
    </row>
    <row r="7" spans="1:10" x14ac:dyDescent="0.3">
      <c r="A7" s="1" t="s">
        <v>66</v>
      </c>
      <c r="B7">
        <v>95</v>
      </c>
      <c r="C7">
        <v>96</v>
      </c>
      <c r="D7">
        <v>96</v>
      </c>
      <c r="E7">
        <v>96</v>
      </c>
      <c r="G7">
        <v>95</v>
      </c>
      <c r="H7">
        <v>96</v>
      </c>
      <c r="I7">
        <v>95</v>
      </c>
      <c r="J7">
        <v>97</v>
      </c>
    </row>
    <row r="8" spans="1:10" x14ac:dyDescent="0.3">
      <c r="A8" t="s">
        <v>73</v>
      </c>
      <c r="B8">
        <v>98</v>
      </c>
      <c r="C8">
        <v>98.5</v>
      </c>
      <c r="D8">
        <v>98.5</v>
      </c>
      <c r="E8">
        <v>98.5</v>
      </c>
      <c r="G8">
        <v>98</v>
      </c>
      <c r="H8">
        <v>98.5</v>
      </c>
      <c r="I8">
        <v>98</v>
      </c>
      <c r="J8">
        <v>99</v>
      </c>
    </row>
    <row r="9" spans="1:10" x14ac:dyDescent="0.3">
      <c r="A9" t="s">
        <v>67</v>
      </c>
      <c r="B9">
        <v>97</v>
      </c>
      <c r="C9">
        <v>97.5</v>
      </c>
      <c r="D9">
        <v>97.5</v>
      </c>
      <c r="E9">
        <v>97.5</v>
      </c>
      <c r="G9">
        <v>97</v>
      </c>
      <c r="H9">
        <v>98</v>
      </c>
      <c r="I9">
        <v>97</v>
      </c>
      <c r="J9">
        <v>98</v>
      </c>
    </row>
    <row r="10" spans="1:10" x14ac:dyDescent="0.3">
      <c r="A10" s="1"/>
    </row>
    <row r="11" spans="1:10" x14ac:dyDescent="0.3">
      <c r="A11" s="1" t="s">
        <v>37</v>
      </c>
      <c r="B11">
        <v>20</v>
      </c>
      <c r="C11">
        <v>25</v>
      </c>
      <c r="D11">
        <v>30</v>
      </c>
      <c r="E11">
        <v>30</v>
      </c>
      <c r="G11">
        <v>15</v>
      </c>
      <c r="H11">
        <v>25</v>
      </c>
      <c r="I11">
        <v>20</v>
      </c>
      <c r="J11">
        <v>45</v>
      </c>
    </row>
    <row r="12" spans="1:10" x14ac:dyDescent="0.3">
      <c r="A12" s="1" t="s">
        <v>33</v>
      </c>
      <c r="B12">
        <v>14000</v>
      </c>
      <c r="C12">
        <v>30000</v>
      </c>
      <c r="D12">
        <v>40000</v>
      </c>
      <c r="E12">
        <v>50000</v>
      </c>
      <c r="G12">
        <v>10000</v>
      </c>
      <c r="H12">
        <v>16000</v>
      </c>
      <c r="I12">
        <v>20000</v>
      </c>
      <c r="J12">
        <v>70000</v>
      </c>
    </row>
    <row r="14" spans="1:10" x14ac:dyDescent="0.3">
      <c r="A14" s="1" t="s">
        <v>69</v>
      </c>
      <c r="B14">
        <v>2</v>
      </c>
      <c r="C14">
        <v>1.8</v>
      </c>
      <c r="D14">
        <v>1.7</v>
      </c>
      <c r="E14">
        <v>1.6</v>
      </c>
      <c r="G14">
        <v>0.4</v>
      </c>
      <c r="H14">
        <v>5.6</v>
      </c>
      <c r="I14">
        <v>0.3</v>
      </c>
      <c r="J14">
        <v>2.5</v>
      </c>
    </row>
    <row r="15" spans="1:10" x14ac:dyDescent="0.3">
      <c r="A15" s="1" t="s">
        <v>71</v>
      </c>
      <c r="B15">
        <v>0.54</v>
      </c>
      <c r="C15">
        <v>0.54</v>
      </c>
      <c r="D15">
        <v>0.54</v>
      </c>
      <c r="E15">
        <v>0.54</v>
      </c>
      <c r="G15">
        <v>0.45</v>
      </c>
      <c r="H15">
        <v>0.54</v>
      </c>
      <c r="I15">
        <v>0.4</v>
      </c>
      <c r="J15">
        <v>0.54</v>
      </c>
    </row>
    <row r="16" spans="1:10" x14ac:dyDescent="0.3">
      <c r="A16" s="1"/>
    </row>
    <row r="17" spans="1:10" x14ac:dyDescent="0.3">
      <c r="A17" s="1" t="s">
        <v>72</v>
      </c>
      <c r="B17">
        <v>1.042</v>
      </c>
      <c r="C17">
        <v>0.622</v>
      </c>
      <c r="D17">
        <v>0.39400000000000002</v>
      </c>
      <c r="E17">
        <v>0.255</v>
      </c>
      <c r="G17">
        <v>0.88</v>
      </c>
      <c r="H17">
        <v>1.829</v>
      </c>
      <c r="I17">
        <v>0.16600000000000001</v>
      </c>
      <c r="J17">
        <v>0.97499999999999998</v>
      </c>
    </row>
    <row r="18" spans="1:10" x14ac:dyDescent="0.3">
      <c r="A18" t="s">
        <v>74</v>
      </c>
      <c r="B18">
        <v>0.13200000000000001</v>
      </c>
      <c r="C18">
        <v>6.2E-2</v>
      </c>
      <c r="D18">
        <v>4.3999999999999997E-2</v>
      </c>
      <c r="E18">
        <v>3.5000000000000003E-2</v>
      </c>
      <c r="G18">
        <v>7.0000000000000007E-2</v>
      </c>
      <c r="H18">
        <v>0.189</v>
      </c>
      <c r="I18">
        <v>2.5999999999999999E-2</v>
      </c>
      <c r="J18">
        <v>0.115</v>
      </c>
    </row>
    <row r="19" spans="1:10" x14ac:dyDescent="0.3">
      <c r="A19" t="s">
        <v>75</v>
      </c>
      <c r="B19">
        <v>0.27</v>
      </c>
      <c r="C19">
        <v>0.16</v>
      </c>
      <c r="D19">
        <v>0.1</v>
      </c>
      <c r="E19">
        <v>0.06</v>
      </c>
      <c r="G19">
        <v>0.24</v>
      </c>
      <c r="H19">
        <v>0.51</v>
      </c>
      <c r="I19">
        <v>0.04</v>
      </c>
      <c r="J19">
        <v>0.25</v>
      </c>
    </row>
    <row r="20" spans="1:10" x14ac:dyDescent="0.3">
      <c r="A20" t="s">
        <v>76</v>
      </c>
      <c r="B20">
        <v>0.1</v>
      </c>
      <c r="C20">
        <v>0.08</v>
      </c>
      <c r="D20">
        <v>0.05</v>
      </c>
      <c r="E20">
        <v>0.04</v>
      </c>
      <c r="G20">
        <v>0.09</v>
      </c>
      <c r="H20">
        <v>0.11</v>
      </c>
      <c r="I20">
        <v>0.02</v>
      </c>
      <c r="J20">
        <v>0.11</v>
      </c>
    </row>
  </sheetData>
  <mergeCells count="2">
    <mergeCell ref="G4:H4"/>
    <mergeCell ref="I4:J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opLeftCell="A34" zoomScale="130" zoomScaleNormal="130" workbookViewId="0">
      <selection activeCell="J14" sqref="J14"/>
    </sheetView>
  </sheetViews>
  <sheetFormatPr defaultRowHeight="14.4" x14ac:dyDescent="0.3"/>
  <cols>
    <col min="1" max="1" width="41.6640625" bestFit="1" customWidth="1"/>
    <col min="2" max="4" width="7.6640625" bestFit="1" customWidth="1"/>
    <col min="6" max="6" width="8" customWidth="1"/>
    <col min="9" max="9" width="5.88671875" bestFit="1" customWidth="1"/>
    <col min="15" max="15" width="15.77734375" bestFit="1" customWidth="1"/>
  </cols>
  <sheetData>
    <row r="1" spans="1:16" x14ac:dyDescent="0.3">
      <c r="A1" t="s">
        <v>77</v>
      </c>
    </row>
    <row r="2" spans="1:16" x14ac:dyDescent="0.3">
      <c r="A2" t="s">
        <v>83</v>
      </c>
    </row>
    <row r="4" spans="1:16" x14ac:dyDescent="0.3">
      <c r="G4" s="1"/>
      <c r="H4" s="28" t="s">
        <v>78</v>
      </c>
      <c r="I4" s="28"/>
      <c r="J4" s="28" t="s">
        <v>81</v>
      </c>
      <c r="K4" s="28"/>
    </row>
    <row r="5" spans="1:16" x14ac:dyDescent="0.3">
      <c r="A5" s="1" t="s">
        <v>82</v>
      </c>
      <c r="B5" s="1">
        <v>2015</v>
      </c>
      <c r="C5" s="1">
        <v>2020</v>
      </c>
      <c r="D5" s="1">
        <v>2030</v>
      </c>
      <c r="E5" s="1">
        <v>2040</v>
      </c>
      <c r="F5" s="1">
        <v>2050</v>
      </c>
      <c r="G5" s="1"/>
      <c r="H5" s="1" t="s">
        <v>79</v>
      </c>
      <c r="I5" s="1" t="s">
        <v>80</v>
      </c>
      <c r="J5" s="1" t="s">
        <v>79</v>
      </c>
      <c r="K5" s="1" t="s">
        <v>80</v>
      </c>
      <c r="P5" s="1"/>
    </row>
    <row r="6" spans="1:16" x14ac:dyDescent="0.3">
      <c r="A6" t="s">
        <v>84</v>
      </c>
      <c r="B6" s="5">
        <v>0.46</v>
      </c>
      <c r="C6" s="5">
        <v>0.48499999999999999</v>
      </c>
      <c r="D6" s="5">
        <v>0.52</v>
      </c>
      <c r="F6" s="5">
        <v>0.53500000000000003</v>
      </c>
      <c r="H6" s="18"/>
      <c r="I6" s="18"/>
      <c r="J6" s="18"/>
      <c r="K6" s="18"/>
    </row>
    <row r="7" spans="1:16" x14ac:dyDescent="0.3">
      <c r="H7" s="18"/>
      <c r="I7" s="18"/>
      <c r="J7" s="18"/>
      <c r="K7" s="18"/>
    </row>
    <row r="8" spans="1:16" x14ac:dyDescent="0.3">
      <c r="A8" t="s">
        <v>37</v>
      </c>
      <c r="B8" s="2">
        <v>25</v>
      </c>
      <c r="C8" s="2">
        <v>25</v>
      </c>
      <c r="D8" s="2">
        <v>25</v>
      </c>
      <c r="F8" s="2">
        <v>25</v>
      </c>
      <c r="H8" s="18"/>
      <c r="I8" s="18"/>
      <c r="J8" s="18"/>
      <c r="K8" s="18"/>
    </row>
    <row r="9" spans="1:16" x14ac:dyDescent="0.3">
      <c r="H9" s="18"/>
      <c r="I9" s="18"/>
      <c r="J9" s="18"/>
      <c r="K9" s="18"/>
    </row>
    <row r="10" spans="1:16" x14ac:dyDescent="0.3">
      <c r="A10" t="s">
        <v>69</v>
      </c>
      <c r="B10" s="2">
        <v>2.95</v>
      </c>
      <c r="C10" s="2">
        <v>2.9</v>
      </c>
      <c r="D10" s="2">
        <v>2.84</v>
      </c>
      <c r="F10" s="2">
        <v>2.72</v>
      </c>
      <c r="H10" s="18"/>
      <c r="I10" s="18"/>
      <c r="J10" s="18"/>
      <c r="K10" s="18"/>
    </row>
    <row r="11" spans="1:16" x14ac:dyDescent="0.3">
      <c r="A11" t="s">
        <v>70</v>
      </c>
      <c r="B11" s="17">
        <v>31500</v>
      </c>
      <c r="C11" s="17">
        <v>31000</v>
      </c>
      <c r="D11" s="17">
        <v>30355.119999999999</v>
      </c>
      <c r="F11" s="17">
        <v>29105.32</v>
      </c>
      <c r="H11" s="18"/>
      <c r="I11" s="18"/>
      <c r="J11" s="18"/>
      <c r="K11" s="18"/>
    </row>
    <row r="12" spans="1:16" x14ac:dyDescent="0.3">
      <c r="A12" t="s">
        <v>85</v>
      </c>
      <c r="B12" s="2">
        <v>1.93</v>
      </c>
      <c r="C12" s="2">
        <v>1.9</v>
      </c>
      <c r="D12" s="2">
        <v>1.86</v>
      </c>
      <c r="F12" s="2">
        <v>1.78</v>
      </c>
      <c r="H12" s="18"/>
      <c r="I12" s="18"/>
      <c r="J12" s="18"/>
      <c r="K12" s="18"/>
    </row>
    <row r="15" spans="1:16" x14ac:dyDescent="0.3">
      <c r="A15" s="1" t="s">
        <v>86</v>
      </c>
      <c r="B15" s="1">
        <v>2015</v>
      </c>
      <c r="C15" s="1">
        <v>2020</v>
      </c>
      <c r="D15" s="1">
        <v>2030</v>
      </c>
      <c r="E15" s="1">
        <v>2040</v>
      </c>
      <c r="F15" s="1">
        <v>2050</v>
      </c>
    </row>
    <row r="16" spans="1:16" x14ac:dyDescent="0.3">
      <c r="A16" t="s">
        <v>84</v>
      </c>
      <c r="B16" s="5">
        <v>0.5</v>
      </c>
      <c r="C16" s="5">
        <v>0.51</v>
      </c>
      <c r="D16" s="5">
        <v>0.53</v>
      </c>
      <c r="F16" s="5">
        <v>0.55000000000000004</v>
      </c>
    </row>
    <row r="18" spans="1:6" x14ac:dyDescent="0.3">
      <c r="A18" t="s">
        <v>37</v>
      </c>
      <c r="B18" s="2">
        <v>25</v>
      </c>
      <c r="C18" s="2">
        <v>25</v>
      </c>
      <c r="D18" s="2">
        <v>25</v>
      </c>
      <c r="F18" s="2">
        <v>25</v>
      </c>
    </row>
    <row r="20" spans="1:6" x14ac:dyDescent="0.3">
      <c r="A20" t="s">
        <v>69</v>
      </c>
      <c r="B20" s="2">
        <v>4.5</v>
      </c>
      <c r="C20" s="2">
        <v>4.4000000000000004</v>
      </c>
      <c r="D20" s="2">
        <v>4.2</v>
      </c>
      <c r="F20" s="2">
        <v>4</v>
      </c>
    </row>
    <row r="21" spans="1:6" x14ac:dyDescent="0.3">
      <c r="A21" t="s">
        <v>70</v>
      </c>
      <c r="B21" s="2">
        <v>30000</v>
      </c>
      <c r="C21" s="2">
        <v>29300</v>
      </c>
      <c r="D21" s="2">
        <v>27800</v>
      </c>
      <c r="F21" s="2">
        <v>26000</v>
      </c>
    </row>
    <row r="22" spans="1:6" x14ac:dyDescent="0.3">
      <c r="A22" t="s">
        <v>85</v>
      </c>
      <c r="B22" s="2">
        <v>1.3</v>
      </c>
      <c r="C22" s="2">
        <v>1.3</v>
      </c>
      <c r="D22" s="2">
        <v>1.2</v>
      </c>
      <c r="F22" s="2">
        <v>1.1000000000000001</v>
      </c>
    </row>
    <row r="25" spans="1:6" x14ac:dyDescent="0.3">
      <c r="A25" s="1" t="s">
        <v>87</v>
      </c>
      <c r="B25" s="1">
        <v>2015</v>
      </c>
      <c r="C25" s="1">
        <v>2020</v>
      </c>
      <c r="D25" s="1">
        <v>2030</v>
      </c>
      <c r="E25" s="1">
        <v>2040</v>
      </c>
      <c r="F25" s="1">
        <v>2050</v>
      </c>
    </row>
    <row r="26" spans="1:6" x14ac:dyDescent="0.3">
      <c r="A26" t="s">
        <v>84</v>
      </c>
    </row>
    <row r="28" spans="1:6" x14ac:dyDescent="0.3">
      <c r="A28" t="s">
        <v>37</v>
      </c>
      <c r="B28" s="2">
        <v>30</v>
      </c>
      <c r="C28" s="2">
        <v>35</v>
      </c>
      <c r="D28" s="2">
        <v>40</v>
      </c>
      <c r="E28" s="2">
        <v>40</v>
      </c>
      <c r="F28" s="2">
        <v>40</v>
      </c>
    </row>
    <row r="30" spans="1:6" x14ac:dyDescent="0.3">
      <c r="A30" t="s">
        <v>69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3">
      <c r="A31" t="s">
        <v>70</v>
      </c>
      <c r="B31" s="2">
        <v>13600</v>
      </c>
      <c r="C31" s="2">
        <v>11300</v>
      </c>
      <c r="D31" s="2">
        <v>9500</v>
      </c>
      <c r="E31" s="2">
        <v>8100</v>
      </c>
      <c r="F31" s="2">
        <v>7400</v>
      </c>
    </row>
    <row r="32" spans="1:6" x14ac:dyDescent="0.3">
      <c r="A32" t="s">
        <v>85</v>
      </c>
      <c r="B32" s="2">
        <v>1.55</v>
      </c>
      <c r="C32" s="2">
        <v>0.56000000000000005</v>
      </c>
      <c r="D32" s="2">
        <v>0.38</v>
      </c>
      <c r="E32" s="2">
        <v>0.32</v>
      </c>
      <c r="F32" s="2">
        <v>0.28999999999999998</v>
      </c>
    </row>
    <row r="35" spans="1:6" x14ac:dyDescent="0.3">
      <c r="A35" s="1" t="s">
        <v>88</v>
      </c>
      <c r="B35" s="1">
        <v>2015</v>
      </c>
      <c r="C35" s="1">
        <v>2020</v>
      </c>
      <c r="D35" s="1">
        <v>2030</v>
      </c>
      <c r="E35" s="1">
        <v>2040</v>
      </c>
      <c r="F35" s="1">
        <v>2050</v>
      </c>
    </row>
    <row r="36" spans="1:6" x14ac:dyDescent="0.3">
      <c r="A36" t="s">
        <v>84</v>
      </c>
    </row>
    <row r="38" spans="1:6" x14ac:dyDescent="0.3">
      <c r="A38" t="s">
        <v>37</v>
      </c>
      <c r="B38" s="2">
        <v>25</v>
      </c>
      <c r="C38" s="2">
        <v>27</v>
      </c>
      <c r="D38" s="2">
        <v>30</v>
      </c>
      <c r="E38" s="2">
        <v>30</v>
      </c>
      <c r="F38" s="2">
        <v>30</v>
      </c>
    </row>
    <row r="40" spans="1:6" x14ac:dyDescent="0.3">
      <c r="A40" t="s">
        <v>69</v>
      </c>
      <c r="B40" s="2">
        <v>2.8</v>
      </c>
      <c r="C40" s="2">
        <v>1.5</v>
      </c>
      <c r="D40" s="2">
        <v>1.35</v>
      </c>
      <c r="E40" s="2">
        <v>1.24</v>
      </c>
      <c r="F40" s="2">
        <v>1.22</v>
      </c>
    </row>
    <row r="41" spans="1:6" x14ac:dyDescent="0.3">
      <c r="A41" t="s">
        <v>70</v>
      </c>
      <c r="B41" s="2">
        <v>25600</v>
      </c>
      <c r="C41" s="2">
        <v>14000</v>
      </c>
      <c r="D41" s="2">
        <v>12600</v>
      </c>
      <c r="E41" s="2">
        <v>11592</v>
      </c>
      <c r="F41" s="2">
        <v>11340</v>
      </c>
    </row>
    <row r="42" spans="1:6" x14ac:dyDescent="0.3">
      <c r="A42" t="s">
        <v>85</v>
      </c>
      <c r="B42" s="2">
        <v>1.33</v>
      </c>
      <c r="C42" s="2">
        <v>1.1200000000000001</v>
      </c>
      <c r="D42" s="2">
        <v>1.04</v>
      </c>
      <c r="E42" s="2">
        <v>0.98</v>
      </c>
      <c r="F42" s="2">
        <v>0.96</v>
      </c>
    </row>
    <row r="45" spans="1:6" x14ac:dyDescent="0.3">
      <c r="A45" s="1" t="s">
        <v>89</v>
      </c>
      <c r="B45" s="1">
        <v>2015</v>
      </c>
      <c r="C45" s="1">
        <v>2020</v>
      </c>
      <c r="D45" s="1">
        <v>2030</v>
      </c>
      <c r="E45" s="1">
        <v>2040</v>
      </c>
      <c r="F45" s="1">
        <v>2050</v>
      </c>
    </row>
    <row r="46" spans="1:6" x14ac:dyDescent="0.3">
      <c r="A46" t="s">
        <v>84</v>
      </c>
    </row>
    <row r="48" spans="1:6" x14ac:dyDescent="0.3">
      <c r="A48" t="s">
        <v>37</v>
      </c>
      <c r="C48" s="2">
        <v>27</v>
      </c>
      <c r="D48" s="2">
        <v>30</v>
      </c>
      <c r="E48" s="2">
        <v>30</v>
      </c>
      <c r="F48" s="2">
        <v>30</v>
      </c>
    </row>
    <row r="50" spans="1:6" x14ac:dyDescent="0.3">
      <c r="A50" t="s">
        <v>69</v>
      </c>
      <c r="C50" s="2">
        <v>5</v>
      </c>
      <c r="D50" s="2">
        <v>3.89</v>
      </c>
      <c r="E50" s="2">
        <v>3.42</v>
      </c>
      <c r="F50" s="2">
        <v>3.25</v>
      </c>
    </row>
    <row r="51" spans="1:6" x14ac:dyDescent="0.3">
      <c r="A51" t="s">
        <v>70</v>
      </c>
      <c r="C51" s="2">
        <v>50000</v>
      </c>
      <c r="D51" s="2">
        <v>39000</v>
      </c>
      <c r="E51" s="2">
        <v>34000</v>
      </c>
      <c r="F51" s="2">
        <v>33000</v>
      </c>
    </row>
    <row r="52" spans="1:6" x14ac:dyDescent="0.3">
      <c r="A52" t="s">
        <v>85</v>
      </c>
      <c r="C52" s="2">
        <v>2.12</v>
      </c>
      <c r="D52" s="2">
        <v>1.8</v>
      </c>
      <c r="E52" s="2">
        <v>1.68</v>
      </c>
      <c r="F52" s="2">
        <v>1.64</v>
      </c>
    </row>
    <row r="55" spans="1:6" x14ac:dyDescent="0.3">
      <c r="A55" s="1" t="s">
        <v>90</v>
      </c>
      <c r="B55" s="1">
        <v>2015</v>
      </c>
      <c r="C55" s="1">
        <v>2020</v>
      </c>
      <c r="D55" s="1">
        <v>2030</v>
      </c>
      <c r="E55" s="1">
        <v>2040</v>
      </c>
      <c r="F55" s="1">
        <v>2050</v>
      </c>
    </row>
    <row r="56" spans="1:6" x14ac:dyDescent="0.3">
      <c r="A56" t="s">
        <v>84</v>
      </c>
      <c r="B56" s="5">
        <v>0.30037599999999998</v>
      </c>
      <c r="C56" s="5">
        <v>0.30095499999999997</v>
      </c>
      <c r="D56" s="5">
        <v>0.30180299999999999</v>
      </c>
      <c r="E56" s="5"/>
      <c r="F56" s="5">
        <v>0.30180299999999999</v>
      </c>
    </row>
    <row r="58" spans="1:6" x14ac:dyDescent="0.3">
      <c r="A58" t="s">
        <v>37</v>
      </c>
      <c r="B58" s="2">
        <v>25</v>
      </c>
      <c r="C58" s="2">
        <v>25</v>
      </c>
      <c r="D58" s="2">
        <v>25</v>
      </c>
      <c r="F58" s="2">
        <v>25</v>
      </c>
    </row>
    <row r="60" spans="1:6" x14ac:dyDescent="0.3">
      <c r="A60" t="s">
        <v>69</v>
      </c>
      <c r="B60" s="2">
        <v>1.72</v>
      </c>
      <c r="C60" s="2">
        <v>1.73</v>
      </c>
      <c r="D60" s="2">
        <v>1.72</v>
      </c>
      <c r="F60" s="2">
        <v>1.72</v>
      </c>
    </row>
    <row r="61" spans="1:6" x14ac:dyDescent="0.3">
      <c r="A61" t="s">
        <v>70</v>
      </c>
      <c r="B61" s="2">
        <v>68000</v>
      </c>
      <c r="C61" s="2">
        <v>66000</v>
      </c>
      <c r="D61" s="2">
        <v>63000</v>
      </c>
      <c r="F61" s="2">
        <v>58000</v>
      </c>
    </row>
    <row r="62" spans="1:6" x14ac:dyDescent="0.3">
      <c r="A62" t="s">
        <v>85</v>
      </c>
      <c r="B62" s="2">
        <v>2.44</v>
      </c>
      <c r="C62" s="2">
        <v>2.38</v>
      </c>
      <c r="D62" s="2">
        <v>2.2599999999999998</v>
      </c>
      <c r="F62" s="2">
        <v>2.0499999999999998</v>
      </c>
    </row>
  </sheetData>
  <mergeCells count="2">
    <mergeCell ref="H4:I4"/>
    <mergeCell ref="J4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zoomScale="123" zoomScaleNormal="175" workbookViewId="0">
      <selection activeCell="D16" sqref="D16"/>
    </sheetView>
  </sheetViews>
  <sheetFormatPr defaultRowHeight="14.4" x14ac:dyDescent="0.3"/>
  <cols>
    <col min="1" max="1" width="10.6640625" customWidth="1"/>
    <col min="2" max="2" width="17.21875" customWidth="1"/>
    <col min="3" max="3" width="15.109375" customWidth="1"/>
  </cols>
  <sheetData>
    <row r="1" spans="1:8" x14ac:dyDescent="0.3">
      <c r="A1" t="s">
        <v>63</v>
      </c>
    </row>
    <row r="3" spans="1:8" x14ac:dyDescent="0.3">
      <c r="A3" t="s">
        <v>57</v>
      </c>
      <c r="B3" s="29" t="s">
        <v>58</v>
      </c>
      <c r="C3" s="29"/>
      <c r="D3" s="29" t="s">
        <v>60</v>
      </c>
      <c r="E3" s="29"/>
      <c r="F3" s="29"/>
      <c r="G3" s="29"/>
      <c r="H3" s="29"/>
    </row>
    <row r="4" spans="1:8" x14ac:dyDescent="0.3">
      <c r="B4" s="1">
        <v>2020</v>
      </c>
      <c r="C4" s="1">
        <v>2021</v>
      </c>
      <c r="D4" s="1">
        <v>2022</v>
      </c>
      <c r="E4" s="1">
        <v>2023</v>
      </c>
      <c r="F4" s="1">
        <v>2024</v>
      </c>
      <c r="G4" s="1">
        <v>2025</v>
      </c>
      <c r="H4" s="1">
        <v>2030</v>
      </c>
    </row>
    <row r="5" spans="1:8" x14ac:dyDescent="0.3">
      <c r="A5" s="1" t="s">
        <v>51</v>
      </c>
      <c r="B5">
        <v>18.2</v>
      </c>
      <c r="C5">
        <v>19.399999999999999</v>
      </c>
      <c r="D5">
        <v>79</v>
      </c>
      <c r="E5">
        <v>67.900000000000006</v>
      </c>
      <c r="F5">
        <v>60.6</v>
      </c>
      <c r="G5">
        <v>40.9</v>
      </c>
      <c r="H5">
        <v>37.1</v>
      </c>
    </row>
    <row r="6" spans="1:8" x14ac:dyDescent="0.3">
      <c r="A6" s="1" t="s">
        <v>52</v>
      </c>
      <c r="B6">
        <v>43</v>
      </c>
      <c r="C6">
        <v>44.8</v>
      </c>
      <c r="D6">
        <v>291.39999999999998</v>
      </c>
      <c r="E6">
        <v>294.5</v>
      </c>
      <c r="F6">
        <v>234</v>
      </c>
      <c r="G6">
        <v>109.8</v>
      </c>
      <c r="H6">
        <v>77.599999999999994</v>
      </c>
    </row>
    <row r="7" spans="1:8" x14ac:dyDescent="0.3">
      <c r="A7" s="16" t="s">
        <v>59</v>
      </c>
    </row>
    <row r="8" spans="1:8" x14ac:dyDescent="0.3">
      <c r="A8" s="1" t="s">
        <v>54</v>
      </c>
      <c r="B8">
        <v>51.8</v>
      </c>
      <c r="C8">
        <v>52.2</v>
      </c>
      <c r="D8">
        <v>100.8</v>
      </c>
      <c r="E8">
        <v>100.6</v>
      </c>
      <c r="F8">
        <v>71.7</v>
      </c>
      <c r="G8">
        <v>62.1</v>
      </c>
      <c r="H8">
        <v>62.3</v>
      </c>
    </row>
    <row r="9" spans="1:8" x14ac:dyDescent="0.3">
      <c r="A9" s="1" t="s">
        <v>55</v>
      </c>
      <c r="B9">
        <v>70</v>
      </c>
      <c r="C9">
        <v>71.099999999999994</v>
      </c>
      <c r="D9">
        <v>135.1</v>
      </c>
      <c r="E9">
        <v>153.30000000000001</v>
      </c>
      <c r="F9">
        <v>101.9</v>
      </c>
      <c r="G9">
        <v>82.9</v>
      </c>
      <c r="H9">
        <v>82.6</v>
      </c>
    </row>
    <row r="10" spans="1:8" x14ac:dyDescent="0.3">
      <c r="A10" s="1" t="s">
        <v>56</v>
      </c>
      <c r="B10">
        <v>44.4</v>
      </c>
      <c r="C10">
        <v>44.6</v>
      </c>
      <c r="D10">
        <v>85.9</v>
      </c>
      <c r="E10">
        <v>85.7</v>
      </c>
      <c r="F10">
        <v>61</v>
      </c>
      <c r="G10">
        <v>52.8</v>
      </c>
      <c r="H10">
        <v>53</v>
      </c>
    </row>
    <row r="14" spans="1:8" x14ac:dyDescent="0.3">
      <c r="A14" t="s">
        <v>19</v>
      </c>
    </row>
    <row r="15" spans="1:8" x14ac:dyDescent="0.3">
      <c r="B15" s="1">
        <v>2020</v>
      </c>
      <c r="C15" s="1">
        <v>2021</v>
      </c>
      <c r="D15" s="1">
        <v>2022</v>
      </c>
      <c r="E15" s="1">
        <v>2023</v>
      </c>
      <c r="F15" s="1">
        <v>2024</v>
      </c>
      <c r="G15" s="1">
        <v>2025</v>
      </c>
      <c r="H15" s="1">
        <v>2030</v>
      </c>
    </row>
    <row r="16" spans="1:8" x14ac:dyDescent="0.3">
      <c r="A16" s="1" t="s">
        <v>51</v>
      </c>
      <c r="B16" s="7">
        <f>B5/7.45</f>
        <v>2.4429530201342282</v>
      </c>
      <c r="C16" s="7">
        <f t="shared" ref="C16:H17" si="0">C5/7.45</f>
        <v>2.6040268456375837</v>
      </c>
      <c r="D16" s="7">
        <f t="shared" si="0"/>
        <v>10.604026845637584</v>
      </c>
      <c r="E16" s="7">
        <f t="shared" si="0"/>
        <v>9.1140939597315445</v>
      </c>
      <c r="F16" s="7">
        <f t="shared" si="0"/>
        <v>8.1342281879194633</v>
      </c>
      <c r="G16" s="7">
        <f t="shared" si="0"/>
        <v>5.4899328859060397</v>
      </c>
      <c r="H16" s="7">
        <f t="shared" si="0"/>
        <v>4.9798657718120802</v>
      </c>
    </row>
    <row r="17" spans="1:8" x14ac:dyDescent="0.3">
      <c r="A17" s="1" t="s">
        <v>52</v>
      </c>
      <c r="B17" s="7">
        <f>B6/7.45</f>
        <v>5.7718120805369129</v>
      </c>
      <c r="C17" s="7">
        <f t="shared" si="0"/>
        <v>6.0134228187919456</v>
      </c>
      <c r="D17" s="7">
        <f t="shared" si="0"/>
        <v>39.114093959731541</v>
      </c>
      <c r="E17" s="7">
        <f t="shared" si="0"/>
        <v>39.530201342281877</v>
      </c>
      <c r="F17" s="7">
        <f t="shared" si="0"/>
        <v>31.409395973154361</v>
      </c>
      <c r="G17" s="7">
        <f t="shared" si="0"/>
        <v>14.738255033557046</v>
      </c>
      <c r="H17" s="7">
        <f t="shared" si="0"/>
        <v>10.416107382550335</v>
      </c>
    </row>
    <row r="18" spans="1:8" x14ac:dyDescent="0.3">
      <c r="A18" s="16" t="s">
        <v>59</v>
      </c>
      <c r="B18" s="7"/>
      <c r="C18" s="7"/>
      <c r="D18" s="7"/>
      <c r="E18" s="7"/>
      <c r="F18" s="7"/>
      <c r="G18" s="7"/>
      <c r="H18" s="7"/>
    </row>
    <row r="19" spans="1:8" x14ac:dyDescent="0.3">
      <c r="A19" s="1" t="s">
        <v>54</v>
      </c>
      <c r="B19" s="7">
        <f>B8/7.45</f>
        <v>6.9530201342281872</v>
      </c>
      <c r="C19" s="7">
        <f t="shared" ref="C19:H19" si="1">C8/7.45</f>
        <v>7.0067114093959733</v>
      </c>
      <c r="D19" s="7">
        <f t="shared" si="1"/>
        <v>13.530201342281879</v>
      </c>
      <c r="E19" s="7">
        <f t="shared" si="1"/>
        <v>13.503355704697986</v>
      </c>
      <c r="F19" s="7">
        <f t="shared" si="1"/>
        <v>9.624161073825503</v>
      </c>
      <c r="G19" s="7">
        <f t="shared" si="1"/>
        <v>8.3355704697986575</v>
      </c>
      <c r="H19" s="7">
        <f t="shared" si="1"/>
        <v>8.3624161073825505</v>
      </c>
    </row>
    <row r="20" spans="1:8" x14ac:dyDescent="0.3">
      <c r="A20" s="1" t="s">
        <v>55</v>
      </c>
      <c r="B20" s="7">
        <f t="shared" ref="B20:H20" si="2">B9/7.45</f>
        <v>9.3959731543624159</v>
      </c>
      <c r="C20" s="7">
        <f t="shared" si="2"/>
        <v>9.5436241610738239</v>
      </c>
      <c r="D20" s="7">
        <f t="shared" si="2"/>
        <v>18.134228187919462</v>
      </c>
      <c r="E20" s="7">
        <f t="shared" si="2"/>
        <v>20.577181208053691</v>
      </c>
      <c r="F20" s="7">
        <f t="shared" si="2"/>
        <v>13.677852348993289</v>
      </c>
      <c r="G20" s="7">
        <f t="shared" si="2"/>
        <v>11.127516778523491</v>
      </c>
      <c r="H20" s="7">
        <f t="shared" si="2"/>
        <v>11.08724832214765</v>
      </c>
    </row>
    <row r="21" spans="1:8" x14ac:dyDescent="0.3">
      <c r="A21" s="1" t="s">
        <v>56</v>
      </c>
      <c r="B21" s="7">
        <f t="shared" ref="B21:H21" si="3">B10/7.45</f>
        <v>5.9597315436241605</v>
      </c>
      <c r="C21" s="7">
        <f t="shared" si="3"/>
        <v>5.9865771812080535</v>
      </c>
      <c r="D21" s="7">
        <f t="shared" si="3"/>
        <v>11.530201342281879</v>
      </c>
      <c r="E21" s="7">
        <f t="shared" si="3"/>
        <v>11.503355704697986</v>
      </c>
      <c r="F21" s="7">
        <f t="shared" si="3"/>
        <v>8.1879194630872476</v>
      </c>
      <c r="G21" s="7">
        <f t="shared" si="3"/>
        <v>7.0872483221476505</v>
      </c>
      <c r="H21" s="7">
        <f t="shared" si="3"/>
        <v>7.1140939597315436</v>
      </c>
    </row>
  </sheetData>
  <mergeCells count="2">
    <mergeCell ref="B3:C3"/>
    <mergeCell ref="D3:H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160" zoomScaleNormal="160" workbookViewId="0">
      <selection activeCell="F30" sqref="F30"/>
    </sheetView>
  </sheetViews>
  <sheetFormatPr defaultRowHeight="14.4" x14ac:dyDescent="0.3"/>
  <sheetData>
    <row r="1" spans="1:2" x14ac:dyDescent="0.3">
      <c r="A1" t="s">
        <v>62</v>
      </c>
    </row>
    <row r="3" spans="1:2" x14ac:dyDescent="0.3">
      <c r="A3" t="s">
        <v>61</v>
      </c>
    </row>
    <row r="5" spans="1:2" x14ac:dyDescent="0.3">
      <c r="A5" s="1" t="s">
        <v>51</v>
      </c>
      <c r="B5">
        <v>94.2</v>
      </c>
    </row>
    <row r="6" spans="1:2" x14ac:dyDescent="0.3">
      <c r="A6" s="1" t="s">
        <v>52</v>
      </c>
      <c r="B6">
        <v>55.47</v>
      </c>
    </row>
    <row r="7" spans="1:2" x14ac:dyDescent="0.3">
      <c r="A7" s="16" t="s">
        <v>59</v>
      </c>
    </row>
    <row r="8" spans="1:2" x14ac:dyDescent="0.3">
      <c r="A8" s="1" t="s">
        <v>54</v>
      </c>
      <c r="B8">
        <v>112</v>
      </c>
    </row>
    <row r="9" spans="1:2" x14ac:dyDescent="0.3">
      <c r="A9" s="1" t="s">
        <v>55</v>
      </c>
      <c r="B9">
        <v>112</v>
      </c>
    </row>
    <row r="10" spans="1:2" x14ac:dyDescent="0.3">
      <c r="A10" s="1" t="s">
        <v>56</v>
      </c>
      <c r="B10">
        <v>100</v>
      </c>
    </row>
    <row r="14" spans="1:2" x14ac:dyDescent="0.3">
      <c r="A14" t="s">
        <v>43</v>
      </c>
    </row>
    <row r="16" spans="1:2" x14ac:dyDescent="0.3">
      <c r="A16" s="1" t="s">
        <v>51</v>
      </c>
      <c r="B16">
        <f>B5/1000</f>
        <v>9.4200000000000006E-2</v>
      </c>
    </row>
    <row r="17" spans="1:2" x14ac:dyDescent="0.3">
      <c r="A17" s="1" t="s">
        <v>52</v>
      </c>
      <c r="B17">
        <f>B6/1000</f>
        <v>5.5469999999999998E-2</v>
      </c>
    </row>
    <row r="18" spans="1:2" x14ac:dyDescent="0.3">
      <c r="A18" s="16" t="s">
        <v>59</v>
      </c>
    </row>
    <row r="19" spans="1:2" x14ac:dyDescent="0.3">
      <c r="A19" s="1" t="s">
        <v>54</v>
      </c>
      <c r="B19">
        <f>B8/1000</f>
        <v>0.112</v>
      </c>
    </row>
    <row r="20" spans="1:2" x14ac:dyDescent="0.3">
      <c r="A20" s="1" t="s">
        <v>55</v>
      </c>
      <c r="B20">
        <f>B9/1000</f>
        <v>0.112</v>
      </c>
    </row>
    <row r="21" spans="1:2" x14ac:dyDescent="0.3">
      <c r="A21" s="1" t="s">
        <v>56</v>
      </c>
      <c r="B21" s="15">
        <f>B10/1000</f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="145" zoomScaleNormal="145" workbookViewId="0">
      <selection activeCell="C9" sqref="C9"/>
    </sheetView>
  </sheetViews>
  <sheetFormatPr defaultRowHeight="14.4" x14ac:dyDescent="0.3"/>
  <cols>
    <col min="1" max="1" width="17.5546875" bestFit="1" customWidth="1"/>
    <col min="2" max="2" width="15.5546875" bestFit="1" customWidth="1"/>
    <col min="3" max="3" width="17.88671875" bestFit="1" customWidth="1"/>
    <col min="4" max="4" width="30.21875" bestFit="1" customWidth="1"/>
    <col min="5" max="5" width="13.109375" bestFit="1" customWidth="1"/>
    <col min="6" max="6" width="12.109375" bestFit="1" customWidth="1"/>
    <col min="7" max="7" width="29.44140625" bestFit="1" customWidth="1"/>
    <col min="8" max="8" width="30" bestFit="1" customWidth="1"/>
    <col min="9" max="9" width="29.33203125" bestFit="1" customWidth="1"/>
    <col min="10" max="10" width="15.77734375" bestFit="1" customWidth="1"/>
    <col min="11" max="11" width="26.33203125" bestFit="1" customWidth="1"/>
    <col min="12" max="12" width="16.109375" bestFit="1" customWidth="1"/>
    <col min="13" max="13" width="22.77734375" bestFit="1" customWidth="1"/>
  </cols>
  <sheetData>
    <row r="2" spans="1:13" x14ac:dyDescent="0.3">
      <c r="A2" s="1" t="s">
        <v>42</v>
      </c>
      <c r="B2" s="6" t="s">
        <v>3</v>
      </c>
      <c r="C2" s="6" t="s">
        <v>4</v>
      </c>
      <c r="D2" s="6" t="s">
        <v>8</v>
      </c>
      <c r="E2" s="6" t="s">
        <v>14</v>
      </c>
      <c r="F2" s="6" t="s">
        <v>16</v>
      </c>
      <c r="G2" s="6" t="s">
        <v>17</v>
      </c>
      <c r="H2" s="6" t="s">
        <v>20</v>
      </c>
      <c r="I2" s="6" t="s">
        <v>21</v>
      </c>
      <c r="J2" s="6" t="s">
        <v>37</v>
      </c>
      <c r="K2" s="6" t="s">
        <v>38</v>
      </c>
      <c r="L2" s="6" t="s">
        <v>44</v>
      </c>
      <c r="M2" s="6" t="s">
        <v>45</v>
      </c>
    </row>
    <row r="3" spans="1:13" x14ac:dyDescent="0.3">
      <c r="A3" s="1"/>
      <c r="B3" s="2" t="s">
        <v>9</v>
      </c>
      <c r="C3" s="2" t="s">
        <v>10</v>
      </c>
      <c r="D3" s="2" t="s">
        <v>11</v>
      </c>
      <c r="E3" s="2" t="s">
        <v>18</v>
      </c>
      <c r="F3" s="2"/>
      <c r="G3" s="2" t="s">
        <v>19</v>
      </c>
      <c r="H3" s="10" t="s">
        <v>11</v>
      </c>
      <c r="I3" s="2" t="s">
        <v>11</v>
      </c>
      <c r="J3" s="2"/>
      <c r="K3" s="2" t="s">
        <v>10</v>
      </c>
      <c r="L3" s="2" t="s">
        <v>43</v>
      </c>
      <c r="M3" s="10" t="s">
        <v>46</v>
      </c>
    </row>
    <row r="4" spans="1:13" x14ac:dyDescent="0.3">
      <c r="A4" t="s">
        <v>12</v>
      </c>
      <c r="B4" s="4">
        <f>2.12*(1000000)</f>
        <v>2120000</v>
      </c>
      <c r="C4" s="2">
        <v>50000</v>
      </c>
      <c r="D4" s="2">
        <v>5</v>
      </c>
      <c r="H4" s="11"/>
      <c r="I4" s="7">
        <f t="shared" ref="I4:I8" si="0">D4+H4</f>
        <v>5</v>
      </c>
      <c r="J4">
        <v>27</v>
      </c>
      <c r="K4" s="4">
        <f>B4/J4</f>
        <v>78518.518518518526</v>
      </c>
      <c r="M4" s="11"/>
    </row>
    <row r="5" spans="1:13" x14ac:dyDescent="0.3">
      <c r="A5" t="s">
        <v>13</v>
      </c>
      <c r="B5" s="4">
        <f>1.12*(1000000)</f>
        <v>1120000</v>
      </c>
      <c r="C5" s="2">
        <v>14000</v>
      </c>
      <c r="D5" s="2">
        <v>1.5</v>
      </c>
      <c r="H5" s="11"/>
      <c r="I5" s="7">
        <f t="shared" si="0"/>
        <v>1.5</v>
      </c>
      <c r="J5">
        <v>27</v>
      </c>
      <c r="K5" s="4">
        <f t="shared" ref="K5:K9" si="1">B5/J5</f>
        <v>41481.481481481482</v>
      </c>
      <c r="M5" s="11"/>
    </row>
    <row r="6" spans="1:13" x14ac:dyDescent="0.3">
      <c r="A6" t="s">
        <v>1</v>
      </c>
      <c r="B6" s="4">
        <f>0.56*(1000000)</f>
        <v>560000</v>
      </c>
      <c r="C6" s="2">
        <v>11300</v>
      </c>
      <c r="D6" s="2">
        <v>0</v>
      </c>
      <c r="H6" s="11"/>
      <c r="I6" s="7">
        <f t="shared" si="0"/>
        <v>0</v>
      </c>
      <c r="J6">
        <v>35</v>
      </c>
      <c r="K6" s="4">
        <f t="shared" si="1"/>
        <v>16000</v>
      </c>
      <c r="M6" s="11"/>
    </row>
    <row r="7" spans="1:13" x14ac:dyDescent="0.3">
      <c r="A7" t="s">
        <v>2</v>
      </c>
      <c r="B7" s="4">
        <f>1.93*(1000000)</f>
        <v>1930000</v>
      </c>
      <c r="C7" s="2">
        <v>31500</v>
      </c>
      <c r="D7" s="2">
        <v>2.95</v>
      </c>
      <c r="E7" s="5">
        <v>0.46</v>
      </c>
      <c r="F7" s="3">
        <f>1/E7</f>
        <v>2.1739130434782608</v>
      </c>
      <c r="G7" s="3">
        <v>2.36246221083629</v>
      </c>
      <c r="H7" s="12">
        <f>G7*F7*3.6</f>
        <v>18.488834693501399</v>
      </c>
      <c r="I7" s="7">
        <f t="shared" si="0"/>
        <v>21.438834693501398</v>
      </c>
      <c r="J7" s="3">
        <v>25</v>
      </c>
      <c r="K7" s="4">
        <f t="shared" si="1"/>
        <v>77200</v>
      </c>
      <c r="L7">
        <f>94.2/1000</f>
        <v>9.4200000000000006E-2</v>
      </c>
      <c r="M7" s="13">
        <f>L7*3.6*F7</f>
        <v>0.73721739130434782</v>
      </c>
    </row>
    <row r="8" spans="1:13" x14ac:dyDescent="0.3">
      <c r="A8" t="s">
        <v>7</v>
      </c>
      <c r="B8" s="4">
        <f>1.3*(1000000)</f>
        <v>1300000</v>
      </c>
      <c r="C8" s="2">
        <v>29300</v>
      </c>
      <c r="D8" s="2">
        <v>4.4000000000000004</v>
      </c>
      <c r="E8" s="5">
        <v>0.51</v>
      </c>
      <c r="F8" s="3">
        <f t="shared" ref="F8:F9" si="2">1/E8</f>
        <v>1.9607843137254901</v>
      </c>
      <c r="G8" s="3">
        <v>5.0462416510206998</v>
      </c>
      <c r="H8" s="12">
        <f>G8*F8*3.6</f>
        <v>35.620529301322584</v>
      </c>
      <c r="I8" s="7">
        <f t="shared" si="0"/>
        <v>40.020529301322583</v>
      </c>
      <c r="J8" s="3">
        <v>25</v>
      </c>
      <c r="K8" s="4">
        <f t="shared" si="1"/>
        <v>52000</v>
      </c>
      <c r="L8">
        <f>55.47/1000</f>
        <v>5.5469999999999998E-2</v>
      </c>
      <c r="M8" s="13">
        <f>L8*3.6*F8</f>
        <v>0.3915529411764706</v>
      </c>
    </row>
    <row r="9" spans="1:13" x14ac:dyDescent="0.3">
      <c r="A9" t="s">
        <v>15</v>
      </c>
      <c r="B9" s="4">
        <f>2.38*(1000000)</f>
        <v>2380000</v>
      </c>
      <c r="C9" s="2">
        <v>66000</v>
      </c>
      <c r="D9" s="2">
        <v>1.73</v>
      </c>
      <c r="E9" s="5">
        <v>0.30095499999999997</v>
      </c>
      <c r="F9" s="3">
        <f t="shared" si="2"/>
        <v>3.3227558937382669</v>
      </c>
      <c r="G9">
        <v>9.4671105511953915</v>
      </c>
      <c r="H9" s="12">
        <f t="shared" ref="H9" si="3">G9*F9*3.6</f>
        <v>113.2448305703624</v>
      </c>
      <c r="I9" s="7">
        <f>D9+H9</f>
        <v>114.9748305703624</v>
      </c>
      <c r="J9" s="3">
        <v>25</v>
      </c>
      <c r="K9" s="4">
        <f t="shared" si="1"/>
        <v>95200</v>
      </c>
      <c r="L9">
        <v>0</v>
      </c>
      <c r="M9" s="11">
        <v>0</v>
      </c>
    </row>
    <row r="10" spans="1:13" x14ac:dyDescent="0.3">
      <c r="F10" s="3"/>
      <c r="G10" s="3"/>
      <c r="H10" s="3"/>
      <c r="I10" s="3"/>
      <c r="J10" s="3"/>
    </row>
    <row r="11" spans="1:13" x14ac:dyDescent="0.3">
      <c r="G11" s="3">
        <f>43/7.46</f>
        <v>5.7640750670241285</v>
      </c>
    </row>
    <row r="12" spans="1:13" x14ac:dyDescent="0.3">
      <c r="G12" s="14"/>
    </row>
    <row r="13" spans="1:13" x14ac:dyDescent="0.3">
      <c r="L13">
        <v>15.3</v>
      </c>
    </row>
    <row r="15" spans="1:13" x14ac:dyDescent="0.3">
      <c r="A15" s="1" t="s">
        <v>5</v>
      </c>
      <c r="B15" s="1" t="s">
        <v>23</v>
      </c>
      <c r="C15" s="1" t="s">
        <v>24</v>
      </c>
      <c r="D15" s="1" t="s">
        <v>39</v>
      </c>
      <c r="E15" s="1" t="s">
        <v>25</v>
      </c>
      <c r="F15" s="1" t="s">
        <v>4</v>
      </c>
      <c r="G15" s="1" t="s">
        <v>34</v>
      </c>
      <c r="H15" s="1" t="s">
        <v>35</v>
      </c>
      <c r="I15" s="1" t="s">
        <v>33</v>
      </c>
      <c r="J15" s="1" t="s">
        <v>37</v>
      </c>
      <c r="L15">
        <f>94.2/1000</f>
        <v>9.4200000000000006E-2</v>
      </c>
    </row>
    <row r="16" spans="1:13" x14ac:dyDescent="0.3">
      <c r="B16" s="1"/>
      <c r="C16" s="1"/>
      <c r="D16" s="1"/>
      <c r="E16" t="s">
        <v>11</v>
      </c>
      <c r="F16" t="s">
        <v>10</v>
      </c>
      <c r="G16" t="s">
        <v>11</v>
      </c>
      <c r="H16" t="s">
        <v>9</v>
      </c>
    </row>
    <row r="17" spans="1:10" x14ac:dyDescent="0.3">
      <c r="A17" t="s">
        <v>6</v>
      </c>
      <c r="B17" s="9">
        <f>98/100</f>
        <v>0.98</v>
      </c>
      <c r="C17" s="9">
        <f>97/100</f>
        <v>0.97</v>
      </c>
      <c r="D17" s="9">
        <f>0.1/100</f>
        <v>1E-3</v>
      </c>
      <c r="E17" s="8">
        <v>2</v>
      </c>
      <c r="F17">
        <f>0.54*1000</f>
        <v>540</v>
      </c>
      <c r="G17" s="4">
        <v>232000</v>
      </c>
      <c r="H17" s="4">
        <v>270000</v>
      </c>
      <c r="I17">
        <v>14000</v>
      </c>
      <c r="J17">
        <v>15</v>
      </c>
    </row>
    <row r="26" spans="1:10" x14ac:dyDescent="0.3">
      <c r="E26" t="s">
        <v>50</v>
      </c>
    </row>
    <row r="27" spans="1:10" x14ac:dyDescent="0.3">
      <c r="D27" t="s">
        <v>51</v>
      </c>
      <c r="E27" s="7">
        <f>18.2/7.46</f>
        <v>2.4396782841823055</v>
      </c>
    </row>
    <row r="28" spans="1:10" x14ac:dyDescent="0.3">
      <c r="D28" t="s">
        <v>52</v>
      </c>
      <c r="E28" s="7">
        <f>43/7.46</f>
        <v>5.7640750670241285</v>
      </c>
    </row>
    <row r="29" spans="1:10" x14ac:dyDescent="0.3">
      <c r="D29" t="s">
        <v>53</v>
      </c>
      <c r="E29" s="7">
        <f>70/7.46</f>
        <v>9.3833780160857909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0"/>
  <sheetViews>
    <sheetView workbookViewId="0">
      <selection activeCell="B12" sqref="B12"/>
    </sheetView>
  </sheetViews>
  <sheetFormatPr defaultRowHeight="14.4" x14ac:dyDescent="0.3"/>
  <cols>
    <col min="1" max="2" width="14.5546875" bestFit="1" customWidth="1"/>
    <col min="3" max="3" width="10.44140625" customWidth="1"/>
    <col min="4" max="4" width="12.88671875" bestFit="1" customWidth="1"/>
    <col min="5" max="5" width="13.109375" bestFit="1" customWidth="1"/>
    <col min="6" max="6" width="12.109375" bestFit="1" customWidth="1"/>
    <col min="7" max="7" width="9" bestFit="1" customWidth="1"/>
    <col min="8" max="8" width="9.6640625" bestFit="1" customWidth="1"/>
    <col min="9" max="9" width="16.33203125" bestFit="1" customWidth="1"/>
  </cols>
  <sheetData>
    <row r="3" spans="1:9" x14ac:dyDescent="0.3">
      <c r="A3" s="1" t="s">
        <v>0</v>
      </c>
      <c r="B3" s="6" t="s">
        <v>3</v>
      </c>
      <c r="C3" s="6" t="s">
        <v>4</v>
      </c>
      <c r="D3" s="6" t="s">
        <v>8</v>
      </c>
      <c r="E3" s="6" t="s">
        <v>14</v>
      </c>
      <c r="F3" s="6" t="s">
        <v>16</v>
      </c>
      <c r="G3" s="6" t="s">
        <v>17</v>
      </c>
      <c r="H3" s="6" t="s">
        <v>20</v>
      </c>
      <c r="I3" s="6" t="s">
        <v>21</v>
      </c>
    </row>
    <row r="4" spans="1:9" x14ac:dyDescent="0.3">
      <c r="A4" s="1"/>
      <c r="B4" t="s">
        <v>9</v>
      </c>
      <c r="C4" t="s">
        <v>10</v>
      </c>
      <c r="D4" t="s">
        <v>11</v>
      </c>
      <c r="E4" t="s">
        <v>18</v>
      </c>
      <c r="G4" t="s">
        <v>19</v>
      </c>
      <c r="H4" t="s">
        <v>11</v>
      </c>
      <c r="I4" t="s">
        <v>11</v>
      </c>
    </row>
    <row r="5" spans="1:9" x14ac:dyDescent="0.3">
      <c r="A5" t="s">
        <v>12</v>
      </c>
      <c r="B5" s="4">
        <f>2.12*(1000000)</f>
        <v>2120000</v>
      </c>
      <c r="C5" s="2">
        <v>50000</v>
      </c>
      <c r="D5" s="2">
        <v>5</v>
      </c>
      <c r="I5" s="7">
        <f>D5+H5</f>
        <v>5</v>
      </c>
    </row>
    <row r="6" spans="1:9" x14ac:dyDescent="0.3">
      <c r="A6" t="s">
        <v>13</v>
      </c>
      <c r="B6" s="4">
        <f>1.12*(1000000)</f>
        <v>1120000</v>
      </c>
      <c r="C6" s="2">
        <v>14000</v>
      </c>
      <c r="D6" s="2">
        <v>1.5</v>
      </c>
      <c r="I6" s="7">
        <f t="shared" ref="I6:I10" si="0">D6+H6</f>
        <v>1.5</v>
      </c>
    </row>
    <row r="7" spans="1:9" x14ac:dyDescent="0.3">
      <c r="A7" t="s">
        <v>1</v>
      </c>
      <c r="B7" s="4">
        <f>0.56*(1000000)</f>
        <v>560000</v>
      </c>
      <c r="C7" s="2">
        <v>11300</v>
      </c>
      <c r="D7" s="2">
        <v>0</v>
      </c>
      <c r="I7" s="7">
        <f t="shared" si="0"/>
        <v>0</v>
      </c>
    </row>
    <row r="8" spans="1:9" x14ac:dyDescent="0.3">
      <c r="A8" t="s">
        <v>2</v>
      </c>
      <c r="B8" s="4">
        <f>1.93*(1000000)</f>
        <v>1930000</v>
      </c>
      <c r="C8" s="2">
        <v>31500</v>
      </c>
      <c r="D8" s="2">
        <v>2.95</v>
      </c>
      <c r="E8" s="5">
        <v>0.46</v>
      </c>
      <c r="F8" s="3">
        <f>1/E8</f>
        <v>2.1739130434782608</v>
      </c>
      <c r="G8" s="3">
        <v>2.3624622108362896</v>
      </c>
      <c r="H8" s="3">
        <f>G8*F8</f>
        <v>5.1357874148614986</v>
      </c>
      <c r="I8" s="7">
        <f t="shared" si="0"/>
        <v>8.0857874148614997</v>
      </c>
    </row>
    <row r="9" spans="1:9" x14ac:dyDescent="0.3">
      <c r="A9" t="s">
        <v>7</v>
      </c>
      <c r="B9" s="4">
        <f>1.3*(1000000)</f>
        <v>1300000</v>
      </c>
      <c r="C9" s="2">
        <v>29300</v>
      </c>
      <c r="D9" s="2">
        <v>4.4000000000000004</v>
      </c>
      <c r="E9" s="5">
        <v>0.51</v>
      </c>
      <c r="F9" s="3">
        <f t="shared" ref="F9:F10" si="1">1/E9</f>
        <v>1.9607843137254901</v>
      </c>
      <c r="G9" s="3">
        <v>5.0462416510206998</v>
      </c>
      <c r="H9" s="3">
        <f t="shared" ref="H9:H10" si="2">G9*F9</f>
        <v>9.8945914725896067</v>
      </c>
      <c r="I9" s="7">
        <f t="shared" si="0"/>
        <v>14.294591472589607</v>
      </c>
    </row>
    <row r="10" spans="1:9" x14ac:dyDescent="0.3">
      <c r="A10" t="s">
        <v>15</v>
      </c>
      <c r="B10" s="4">
        <f>2.38*(1000000)</f>
        <v>2380000</v>
      </c>
      <c r="C10" s="2">
        <v>66000</v>
      </c>
      <c r="D10" s="2">
        <v>1.73</v>
      </c>
      <c r="E10" s="5">
        <v>0.30095499999999997</v>
      </c>
      <c r="F10" s="3">
        <f t="shared" si="1"/>
        <v>3.3227558937382669</v>
      </c>
      <c r="G10" s="3">
        <v>10.335570469798657</v>
      </c>
      <c r="H10" s="3">
        <f t="shared" si="2"/>
        <v>34.342577693670677</v>
      </c>
      <c r="I10" s="7">
        <f t="shared" si="0"/>
        <v>36.072577693670674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Simulering scenarie 2</vt:lpstr>
      <vt:lpstr>Simulering scenarie 1</vt:lpstr>
      <vt:lpstr>PRIS115</vt:lpstr>
      <vt:lpstr>Tech - energi storage</vt:lpstr>
      <vt:lpstr>Tech - electricity plants</vt:lpstr>
      <vt:lpstr>Prices</vt:lpstr>
      <vt:lpstr>Emissions</vt:lpstr>
      <vt:lpstr>Data til simulering v2</vt:lpstr>
      <vt:lpstr>Data til simulering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Bjarke Kinnerup</dc:creator>
  <cp:lastModifiedBy>Jonas Hass Bonné</cp:lastModifiedBy>
  <dcterms:created xsi:type="dcterms:W3CDTF">2015-06-05T18:19:34Z</dcterms:created>
  <dcterms:modified xsi:type="dcterms:W3CDTF">2023-03-22T13:40:01Z</dcterms:modified>
</cp:coreProperties>
</file>