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ervidor\Engenharia\BIBLIOTECA\ELÉTRICA\Planilhas de Cálculos\"/>
    </mc:Choice>
  </mc:AlternateContent>
  <xr:revisionPtr revIDLastSave="53" documentId="13_ncr:1_{98B3C379-AE3B-4AF2-B13A-F8AEFB5A2DD5}" xr6:coauthVersionLast="47" xr6:coauthVersionMax="47" xr10:uidLastSave="{342B3F52-F101-4EEF-813B-8F03E30EC8D0}"/>
  <bookViews>
    <workbookView xWindow="-120" yWindow="-120" windowWidth="29040" windowHeight="15720" tabRatio="617" firstSheet="1" activeTab="1" xr2:uid="{00000000-000D-0000-FFFF-FFFF00000000}"/>
  </bookViews>
  <sheets>
    <sheet name="ALIMENTADORES" sheetId="119" r:id="rId1"/>
    <sheet name="QD01" sheetId="117" r:id="rId2"/>
    <sheet name="QD02" sheetId="128" r:id="rId3"/>
    <sheet name="QD03" sheetId="129" r:id="rId4"/>
    <sheet name="QD04" sheetId="130" r:id="rId5"/>
    <sheet name="Dados" sheetId="1" r:id="rId6"/>
  </sheets>
  <definedNames>
    <definedName name="_xlnm._FilterDatabase" localSheetId="0" hidden="1">ALIMENTADORES!$A$2:$N$3</definedName>
    <definedName name="al">Dados!$D$5:$D$18</definedName>
    <definedName name="ALI">Dados!$E$5:$E$8</definedName>
    <definedName name="bit">Dados!$H$5:$H$18</definedName>
    <definedName name="CAABO">#REF!</definedName>
    <definedName name="CABO">#REF!</definedName>
    <definedName name="cu">Dados!$F$3:$F$5</definedName>
    <definedName name="D">#REF!</definedName>
    <definedName name="DD">#REF!</definedName>
    <definedName name="dia">#REF!</definedName>
    <definedName name="IN">Dados!$H$1:$H$2</definedName>
    <definedName name="iso">Dados!$E$2:$E$3</definedName>
    <definedName name="NCABO">#REF!</definedName>
    <definedName name="NOME_DO_QUADRO" localSheetId="2">'QD02'!$L$5</definedName>
    <definedName name="NOME_DO_QUADRO" localSheetId="3">'QD03'!$L$5</definedName>
    <definedName name="NOME_DO_QUADRO" localSheetId="4">'QD04'!$L$5</definedName>
    <definedName name="NOME_DO_QUADRO">'QD01'!$L$5</definedName>
    <definedName name="_xlnm.Print_Area" localSheetId="1">'QD01'!$A$1:$T$79</definedName>
    <definedName name="_xlnm.Print_Area" localSheetId="2">'QD02'!$A$1:$T$79</definedName>
    <definedName name="_xlnm.Print_Area" localSheetId="3">'QD03'!$A$1:$T$79</definedName>
    <definedName name="_xlnm.Print_Area" localSheetId="4">'QD04'!$A$1:$T$79</definedName>
    <definedName name="tcabo">#REF!</definedName>
    <definedName name="TIPO">#REF!</definedName>
    <definedName name="tvakm">Dados!$P$2:$Q$97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7" l="1"/>
  <c r="H4" i="128"/>
  <c r="H4" i="129"/>
  <c r="AD58" i="129" s="1"/>
  <c r="H4" i="130"/>
  <c r="M4" i="119"/>
  <c r="G4" i="119"/>
  <c r="J4" i="119" s="1"/>
  <c r="M7" i="119"/>
  <c r="I7" i="119"/>
  <c r="H7" i="119"/>
  <c r="G7" i="119"/>
  <c r="J7" i="119" s="1"/>
  <c r="F7" i="119"/>
  <c r="D7" i="119"/>
  <c r="C7" i="119"/>
  <c r="M6" i="119"/>
  <c r="I6" i="119"/>
  <c r="H6" i="119"/>
  <c r="G6" i="119"/>
  <c r="J6" i="119" s="1"/>
  <c r="F6" i="119"/>
  <c r="D6" i="119"/>
  <c r="C6" i="119"/>
  <c r="M5" i="119"/>
  <c r="I5" i="119"/>
  <c r="H5" i="119"/>
  <c r="G5" i="119"/>
  <c r="J5" i="119" s="1"/>
  <c r="F5" i="119"/>
  <c r="D5" i="119"/>
  <c r="C5" i="119"/>
  <c r="Z79" i="130"/>
  <c r="I79" i="130"/>
  <c r="Z78" i="130"/>
  <c r="F78" i="130"/>
  <c r="AG77" i="130"/>
  <c r="AF77" i="130"/>
  <c r="AE77" i="130"/>
  <c r="Q77" i="130"/>
  <c r="AI77" i="130" s="1"/>
  <c r="N77" i="130"/>
  <c r="M77" i="130"/>
  <c r="L77" i="130"/>
  <c r="J77" i="130"/>
  <c r="AG76" i="130"/>
  <c r="AF76" i="130"/>
  <c r="AE76" i="130"/>
  <c r="Q76" i="130"/>
  <c r="N76" i="130"/>
  <c r="M76" i="130"/>
  <c r="L76" i="130"/>
  <c r="J76" i="130"/>
  <c r="AG75" i="130"/>
  <c r="AF75" i="130"/>
  <c r="AE75" i="130"/>
  <c r="Q75" i="130"/>
  <c r="N75" i="130"/>
  <c r="M75" i="130"/>
  <c r="L75" i="130"/>
  <c r="J75" i="130"/>
  <c r="AG74" i="130"/>
  <c r="AF74" i="130"/>
  <c r="AE74" i="130"/>
  <c r="Q74" i="130"/>
  <c r="N74" i="130"/>
  <c r="M74" i="130"/>
  <c r="L74" i="130"/>
  <c r="J74" i="130"/>
  <c r="AG73" i="130"/>
  <c r="AF73" i="130"/>
  <c r="AE73" i="130"/>
  <c r="Q73" i="130"/>
  <c r="N73" i="130"/>
  <c r="M73" i="130"/>
  <c r="L73" i="130"/>
  <c r="J73" i="130"/>
  <c r="AG72" i="130"/>
  <c r="AF72" i="130"/>
  <c r="AE72" i="130"/>
  <c r="Q72" i="130"/>
  <c r="N72" i="130"/>
  <c r="M72" i="130"/>
  <c r="L72" i="130"/>
  <c r="J72" i="130"/>
  <c r="AG71" i="130"/>
  <c r="AF71" i="130"/>
  <c r="AE71" i="130"/>
  <c r="Q71" i="130"/>
  <c r="N71" i="130"/>
  <c r="M71" i="130"/>
  <c r="L71" i="130"/>
  <c r="J71" i="130"/>
  <c r="AG70" i="130"/>
  <c r="AF70" i="130"/>
  <c r="AE70" i="130"/>
  <c r="Q70" i="130"/>
  <c r="N70" i="130"/>
  <c r="M70" i="130"/>
  <c r="L70" i="130"/>
  <c r="J70" i="130"/>
  <c r="AG69" i="130"/>
  <c r="AF69" i="130"/>
  <c r="AE69" i="130"/>
  <c r="Q69" i="130"/>
  <c r="N69" i="130"/>
  <c r="M69" i="130"/>
  <c r="L69" i="130"/>
  <c r="J69" i="130"/>
  <c r="AG68" i="130"/>
  <c r="AF68" i="130"/>
  <c r="AE68" i="130"/>
  <c r="Q68" i="130"/>
  <c r="N68" i="130"/>
  <c r="M68" i="130"/>
  <c r="L68" i="130"/>
  <c r="J68" i="130"/>
  <c r="AG67" i="130"/>
  <c r="AF67" i="130"/>
  <c r="AE67" i="130"/>
  <c r="Q67" i="130"/>
  <c r="N67" i="130"/>
  <c r="M67" i="130"/>
  <c r="L67" i="130"/>
  <c r="J67" i="130"/>
  <c r="AG66" i="130"/>
  <c r="AF66" i="130"/>
  <c r="AE66" i="130"/>
  <c r="Q66" i="130"/>
  <c r="N66" i="130"/>
  <c r="M66" i="130"/>
  <c r="L66" i="130"/>
  <c r="J66" i="130"/>
  <c r="AG65" i="130"/>
  <c r="AF65" i="130"/>
  <c r="AE65" i="130"/>
  <c r="Q65" i="130"/>
  <c r="N65" i="130"/>
  <c r="M65" i="130"/>
  <c r="L65" i="130"/>
  <c r="J65" i="130"/>
  <c r="AG64" i="130"/>
  <c r="AF64" i="130"/>
  <c r="AE64" i="130"/>
  <c r="Q64" i="130"/>
  <c r="N64" i="130"/>
  <c r="M64" i="130"/>
  <c r="L64" i="130"/>
  <c r="J64" i="130"/>
  <c r="AG63" i="130"/>
  <c r="AF63" i="130"/>
  <c r="AE63" i="130"/>
  <c r="Q63" i="130"/>
  <c r="N63" i="130"/>
  <c r="M63" i="130"/>
  <c r="L63" i="130"/>
  <c r="J63" i="130"/>
  <c r="AG62" i="130"/>
  <c r="AF62" i="130"/>
  <c r="AE62" i="130"/>
  <c r="Q62" i="130"/>
  <c r="N62" i="130"/>
  <c r="M62" i="130"/>
  <c r="L62" i="130"/>
  <c r="J62" i="130"/>
  <c r="AG61" i="130"/>
  <c r="AF61" i="130"/>
  <c r="AE61" i="130"/>
  <c r="Q61" i="130"/>
  <c r="N61" i="130"/>
  <c r="M61" i="130"/>
  <c r="L61" i="130"/>
  <c r="J61" i="130"/>
  <c r="AG60" i="130"/>
  <c r="AF60" i="130"/>
  <c r="AE60" i="130"/>
  <c r="Q60" i="130"/>
  <c r="N60" i="130"/>
  <c r="M60" i="130"/>
  <c r="L60" i="130"/>
  <c r="J60" i="130"/>
  <c r="AG59" i="130"/>
  <c r="AF59" i="130"/>
  <c r="AE59" i="130"/>
  <c r="Q59" i="130"/>
  <c r="N59" i="130"/>
  <c r="M59" i="130"/>
  <c r="L59" i="130"/>
  <c r="J59" i="130"/>
  <c r="AG58" i="130"/>
  <c r="AF58" i="130"/>
  <c r="AE58" i="130"/>
  <c r="Q58" i="130"/>
  <c r="N58" i="130"/>
  <c r="M58" i="130"/>
  <c r="L58" i="130"/>
  <c r="J58" i="130"/>
  <c r="AG57" i="130"/>
  <c r="AF57" i="130"/>
  <c r="AE57" i="130"/>
  <c r="Q57" i="130"/>
  <c r="N57" i="130"/>
  <c r="M57" i="130"/>
  <c r="L57" i="130"/>
  <c r="J57" i="130"/>
  <c r="AG56" i="130"/>
  <c r="AF56" i="130"/>
  <c r="AE56" i="130"/>
  <c r="Q56" i="130"/>
  <c r="N56" i="130"/>
  <c r="M56" i="130"/>
  <c r="L56" i="130"/>
  <c r="J56" i="130"/>
  <c r="AG55" i="130"/>
  <c r="AF55" i="130"/>
  <c r="AE55" i="130"/>
  <c r="Q55" i="130"/>
  <c r="N55" i="130"/>
  <c r="M55" i="130"/>
  <c r="L55" i="130"/>
  <c r="J55" i="130"/>
  <c r="AG54" i="130"/>
  <c r="AF54" i="130"/>
  <c r="AE54" i="130"/>
  <c r="Q54" i="130"/>
  <c r="N54" i="130"/>
  <c r="M54" i="130"/>
  <c r="L54" i="130"/>
  <c r="J54" i="130"/>
  <c r="AG53" i="130"/>
  <c r="AF53" i="130"/>
  <c r="AE53" i="130"/>
  <c r="Q53" i="130"/>
  <c r="N53" i="130"/>
  <c r="M53" i="130"/>
  <c r="L53" i="130"/>
  <c r="J53" i="130"/>
  <c r="AG52" i="130"/>
  <c r="AF52" i="130"/>
  <c r="AE52" i="130"/>
  <c r="Q52" i="130"/>
  <c r="N52" i="130"/>
  <c r="M52" i="130"/>
  <c r="L52" i="130"/>
  <c r="J52" i="130"/>
  <c r="AG51" i="130"/>
  <c r="AF51" i="130"/>
  <c r="AE51" i="130"/>
  <c r="Q51" i="130"/>
  <c r="N51" i="130"/>
  <c r="M51" i="130"/>
  <c r="L51" i="130"/>
  <c r="J51" i="130"/>
  <c r="AG50" i="130"/>
  <c r="AF50" i="130"/>
  <c r="AE50" i="130"/>
  <c r="Q50" i="130"/>
  <c r="N50" i="130"/>
  <c r="M50" i="130"/>
  <c r="L50" i="130"/>
  <c r="J50" i="130"/>
  <c r="AG49" i="130"/>
  <c r="AF49" i="130"/>
  <c r="AE49" i="130"/>
  <c r="Q49" i="130"/>
  <c r="N49" i="130"/>
  <c r="M49" i="130"/>
  <c r="L49" i="130"/>
  <c r="J49" i="130"/>
  <c r="AG48" i="130"/>
  <c r="AF48" i="130"/>
  <c r="AE48" i="130"/>
  <c r="Q48" i="130"/>
  <c r="N48" i="130"/>
  <c r="M48" i="130"/>
  <c r="L48" i="130"/>
  <c r="J48" i="130"/>
  <c r="AG47" i="130"/>
  <c r="AF47" i="130"/>
  <c r="AE47" i="130"/>
  <c r="Q47" i="130"/>
  <c r="N47" i="130"/>
  <c r="M47" i="130"/>
  <c r="L47" i="130"/>
  <c r="J47" i="130"/>
  <c r="AG46" i="130"/>
  <c r="AF46" i="130"/>
  <c r="AE46" i="130"/>
  <c r="Q46" i="130"/>
  <c r="N46" i="130"/>
  <c r="M46" i="130"/>
  <c r="L46" i="130"/>
  <c r="J46" i="130"/>
  <c r="AG45" i="130"/>
  <c r="AF45" i="130"/>
  <c r="AE45" i="130"/>
  <c r="Q45" i="130"/>
  <c r="N45" i="130"/>
  <c r="M45" i="130"/>
  <c r="L45" i="130"/>
  <c r="J45" i="130"/>
  <c r="AG44" i="130"/>
  <c r="AF44" i="130"/>
  <c r="AE44" i="130"/>
  <c r="Q44" i="130"/>
  <c r="N44" i="130"/>
  <c r="M44" i="130"/>
  <c r="L44" i="130"/>
  <c r="J44" i="130"/>
  <c r="AG43" i="130"/>
  <c r="AF43" i="130"/>
  <c r="AE43" i="130"/>
  <c r="Q43" i="130"/>
  <c r="N43" i="130"/>
  <c r="M43" i="130"/>
  <c r="L43" i="130"/>
  <c r="J43" i="130"/>
  <c r="AG42" i="130"/>
  <c r="AF42" i="130"/>
  <c r="AE42" i="130"/>
  <c r="Q42" i="130"/>
  <c r="N42" i="130"/>
  <c r="M42" i="130"/>
  <c r="L42" i="130"/>
  <c r="J42" i="130"/>
  <c r="AG41" i="130"/>
  <c r="AF41" i="130"/>
  <c r="AE41" i="130"/>
  <c r="Q41" i="130"/>
  <c r="N41" i="130"/>
  <c r="M41" i="130"/>
  <c r="L41" i="130"/>
  <c r="J41" i="130"/>
  <c r="AG40" i="130"/>
  <c r="AF40" i="130"/>
  <c r="AE40" i="130"/>
  <c r="Q40" i="130"/>
  <c r="N40" i="130"/>
  <c r="M40" i="130"/>
  <c r="L40" i="130"/>
  <c r="J40" i="130"/>
  <c r="AG39" i="130"/>
  <c r="AF39" i="130"/>
  <c r="AE39" i="130"/>
  <c r="Q39" i="130"/>
  <c r="N39" i="130"/>
  <c r="M39" i="130"/>
  <c r="L39" i="130"/>
  <c r="J39" i="130"/>
  <c r="AG38" i="130"/>
  <c r="AF38" i="130"/>
  <c r="AE38" i="130"/>
  <c r="Q38" i="130"/>
  <c r="N38" i="130"/>
  <c r="M38" i="130"/>
  <c r="L38" i="130"/>
  <c r="J38" i="130"/>
  <c r="AG37" i="130"/>
  <c r="AF37" i="130"/>
  <c r="AE37" i="130"/>
  <c r="Q37" i="130"/>
  <c r="N37" i="130"/>
  <c r="M37" i="130"/>
  <c r="L37" i="130"/>
  <c r="J37" i="130"/>
  <c r="AG36" i="130"/>
  <c r="AF36" i="130"/>
  <c r="AE36" i="130"/>
  <c r="Q36" i="130"/>
  <c r="N36" i="130"/>
  <c r="M36" i="130"/>
  <c r="L36" i="130"/>
  <c r="J36" i="130"/>
  <c r="AG35" i="130"/>
  <c r="AF35" i="130"/>
  <c r="AE35" i="130"/>
  <c r="Q35" i="130"/>
  <c r="N35" i="130"/>
  <c r="M35" i="130"/>
  <c r="L35" i="130"/>
  <c r="J35" i="130"/>
  <c r="AG34" i="130"/>
  <c r="AF34" i="130"/>
  <c r="AE34" i="130"/>
  <c r="Q34" i="130"/>
  <c r="N34" i="130"/>
  <c r="M34" i="130"/>
  <c r="L34" i="130"/>
  <c r="J34" i="130"/>
  <c r="AG33" i="130"/>
  <c r="AF33" i="130"/>
  <c r="AE33" i="130"/>
  <c r="Q33" i="130"/>
  <c r="N33" i="130"/>
  <c r="M33" i="130"/>
  <c r="L33" i="130"/>
  <c r="J33" i="130"/>
  <c r="AG32" i="130"/>
  <c r="AF32" i="130"/>
  <c r="AE32" i="130"/>
  <c r="Q32" i="130"/>
  <c r="N32" i="130"/>
  <c r="M32" i="130"/>
  <c r="L32" i="130"/>
  <c r="J32" i="130"/>
  <c r="AG31" i="130"/>
  <c r="AF31" i="130"/>
  <c r="AE31" i="130"/>
  <c r="Q31" i="130"/>
  <c r="N31" i="130"/>
  <c r="M31" i="130"/>
  <c r="L31" i="130"/>
  <c r="J31" i="130"/>
  <c r="AG30" i="130"/>
  <c r="AF30" i="130"/>
  <c r="AE30" i="130"/>
  <c r="Q30" i="130"/>
  <c r="N30" i="130"/>
  <c r="M30" i="130"/>
  <c r="L30" i="130"/>
  <c r="J30" i="130"/>
  <c r="AG29" i="130"/>
  <c r="AF29" i="130"/>
  <c r="AE29" i="130"/>
  <c r="Q29" i="130"/>
  <c r="N29" i="130"/>
  <c r="M29" i="130"/>
  <c r="L29" i="130"/>
  <c r="J29" i="130"/>
  <c r="AG28" i="130"/>
  <c r="AF28" i="130"/>
  <c r="AE28" i="130"/>
  <c r="Q28" i="130"/>
  <c r="N28" i="130"/>
  <c r="M28" i="130"/>
  <c r="L28" i="130"/>
  <c r="J28" i="130"/>
  <c r="AG27" i="130"/>
  <c r="AF27" i="130"/>
  <c r="AE27" i="130"/>
  <c r="Q27" i="130"/>
  <c r="N27" i="130"/>
  <c r="M27" i="130"/>
  <c r="L27" i="130"/>
  <c r="J27" i="130"/>
  <c r="AG26" i="130"/>
  <c r="AF26" i="130"/>
  <c r="AE26" i="130"/>
  <c r="Q26" i="130"/>
  <c r="N26" i="130"/>
  <c r="M26" i="130"/>
  <c r="L26" i="130"/>
  <c r="J26" i="130"/>
  <c r="AG25" i="130"/>
  <c r="AF25" i="130"/>
  <c r="AE25" i="130"/>
  <c r="Q25" i="130"/>
  <c r="N25" i="130"/>
  <c r="M25" i="130"/>
  <c r="L25" i="130"/>
  <c r="J25" i="130"/>
  <c r="AG24" i="130"/>
  <c r="AF24" i="130"/>
  <c r="AE24" i="130"/>
  <c r="Q24" i="130"/>
  <c r="N24" i="130"/>
  <c r="M24" i="130"/>
  <c r="L24" i="130"/>
  <c r="J24" i="130"/>
  <c r="AG23" i="130"/>
  <c r="AF23" i="130"/>
  <c r="AE23" i="130"/>
  <c r="Q23" i="130"/>
  <c r="N23" i="130"/>
  <c r="M23" i="130"/>
  <c r="L23" i="130"/>
  <c r="J23" i="130"/>
  <c r="AG22" i="130"/>
  <c r="AF22" i="130"/>
  <c r="AE22" i="130"/>
  <c r="Q22" i="130"/>
  <c r="AI22" i="130" s="1"/>
  <c r="N22" i="130"/>
  <c r="M22" i="130"/>
  <c r="L22" i="130"/>
  <c r="J22" i="130"/>
  <c r="AG21" i="130"/>
  <c r="AF21" i="130"/>
  <c r="AE21" i="130"/>
  <c r="Q21" i="130"/>
  <c r="AI21" i="130" s="1"/>
  <c r="N21" i="130"/>
  <c r="M21" i="130"/>
  <c r="L21" i="130"/>
  <c r="J21" i="130"/>
  <c r="AG20" i="130"/>
  <c r="AF20" i="130"/>
  <c r="AE20" i="130"/>
  <c r="Q20" i="130"/>
  <c r="N20" i="130"/>
  <c r="M20" i="130"/>
  <c r="L20" i="130"/>
  <c r="J20" i="130"/>
  <c r="AG19" i="130"/>
  <c r="AG79" i="130" s="1"/>
  <c r="AF19" i="130"/>
  <c r="AE19" i="130"/>
  <c r="Q19" i="130"/>
  <c r="AI19" i="130" s="1"/>
  <c r="N19" i="130"/>
  <c r="M19" i="130"/>
  <c r="M79" i="130" s="1"/>
  <c r="L19" i="130"/>
  <c r="J19" i="130"/>
  <c r="J79" i="130" s="1"/>
  <c r="N15" i="130"/>
  <c r="M15" i="130"/>
  <c r="L15" i="130"/>
  <c r="I11" i="130"/>
  <c r="AD74" i="130"/>
  <c r="Z79" i="129"/>
  <c r="I79" i="129"/>
  <c r="Z78" i="129"/>
  <c r="F78" i="129"/>
  <c r="AG77" i="129"/>
  <c r="AF77" i="129"/>
  <c r="AE77" i="129"/>
  <c r="Q77" i="129"/>
  <c r="AI77" i="129" s="1"/>
  <c r="N77" i="129"/>
  <c r="M77" i="129"/>
  <c r="L77" i="129"/>
  <c r="J77" i="129"/>
  <c r="AG76" i="129"/>
  <c r="AF76" i="129"/>
  <c r="AE76" i="129"/>
  <c r="Q76" i="129"/>
  <c r="T76" i="129" s="1"/>
  <c r="N76" i="129"/>
  <c r="M76" i="129"/>
  <c r="L76" i="129"/>
  <c r="J76" i="129"/>
  <c r="AG75" i="129"/>
  <c r="AF75" i="129"/>
  <c r="AE75" i="129"/>
  <c r="AD75" i="129"/>
  <c r="Q75" i="129"/>
  <c r="AI75" i="129" s="1"/>
  <c r="N75" i="129"/>
  <c r="M75" i="129"/>
  <c r="L75" i="129"/>
  <c r="J75" i="129"/>
  <c r="AH74" i="129"/>
  <c r="AG74" i="129"/>
  <c r="AF74" i="129"/>
  <c r="AE74" i="129"/>
  <c r="Q74" i="129"/>
  <c r="N74" i="129"/>
  <c r="M74" i="129"/>
  <c r="L74" i="129"/>
  <c r="J74" i="129"/>
  <c r="AG73" i="129"/>
  <c r="AF73" i="129"/>
  <c r="AE73" i="129"/>
  <c r="Q73" i="129"/>
  <c r="AI73" i="129" s="1"/>
  <c r="N73" i="129"/>
  <c r="M73" i="129"/>
  <c r="L73" i="129"/>
  <c r="J73" i="129"/>
  <c r="AG72" i="129"/>
  <c r="AF72" i="129"/>
  <c r="AE72" i="129"/>
  <c r="Q72" i="129"/>
  <c r="T72" i="129" s="1"/>
  <c r="N72" i="129"/>
  <c r="M72" i="129"/>
  <c r="L72" i="129"/>
  <c r="J72" i="129"/>
  <c r="AG71" i="129"/>
  <c r="AF71" i="129"/>
  <c r="AE71" i="129"/>
  <c r="Q71" i="129"/>
  <c r="AI71" i="129" s="1"/>
  <c r="N71" i="129"/>
  <c r="M71" i="129"/>
  <c r="L71" i="129"/>
  <c r="J71" i="129"/>
  <c r="AG70" i="129"/>
  <c r="AF70" i="129"/>
  <c r="AE70" i="129"/>
  <c r="Q70" i="129"/>
  <c r="N70" i="129"/>
  <c r="M70" i="129"/>
  <c r="L70" i="129"/>
  <c r="J70" i="129"/>
  <c r="AG69" i="129"/>
  <c r="AF69" i="129"/>
  <c r="AE69" i="129"/>
  <c r="AD69" i="129"/>
  <c r="Q69" i="129"/>
  <c r="AI69" i="129" s="1"/>
  <c r="N69" i="129"/>
  <c r="M69" i="129"/>
  <c r="L69" i="129"/>
  <c r="J69" i="129"/>
  <c r="AG68" i="129"/>
  <c r="AF68" i="129"/>
  <c r="AE68" i="129"/>
  <c r="Q68" i="129"/>
  <c r="N68" i="129"/>
  <c r="M68" i="129"/>
  <c r="L68" i="129"/>
  <c r="J68" i="129"/>
  <c r="AH67" i="129"/>
  <c r="AG67" i="129"/>
  <c r="AF67" i="129"/>
  <c r="AE67" i="129"/>
  <c r="Q67" i="129"/>
  <c r="AI67" i="129" s="1"/>
  <c r="N67" i="129"/>
  <c r="M67" i="129"/>
  <c r="L67" i="129"/>
  <c r="J67" i="129"/>
  <c r="AG66" i="129"/>
  <c r="AF66" i="129"/>
  <c r="AE66" i="129"/>
  <c r="Q66" i="129"/>
  <c r="AI66" i="129" s="1"/>
  <c r="N66" i="129"/>
  <c r="M66" i="129"/>
  <c r="L66" i="129"/>
  <c r="J66" i="129"/>
  <c r="AG65" i="129"/>
  <c r="AF65" i="129"/>
  <c r="AE65" i="129"/>
  <c r="Q65" i="129"/>
  <c r="AI65" i="129" s="1"/>
  <c r="N65" i="129"/>
  <c r="M65" i="129"/>
  <c r="L65" i="129"/>
  <c r="J65" i="129"/>
  <c r="AG64" i="129"/>
  <c r="AF64" i="129"/>
  <c r="AE64" i="129"/>
  <c r="Q64" i="129"/>
  <c r="AI64" i="129" s="1"/>
  <c r="N64" i="129"/>
  <c r="M64" i="129"/>
  <c r="L64" i="129"/>
  <c r="J64" i="129"/>
  <c r="AG63" i="129"/>
  <c r="AF63" i="129"/>
  <c r="AE63" i="129"/>
  <c r="AD63" i="129"/>
  <c r="Q63" i="129"/>
  <c r="AI63" i="129" s="1"/>
  <c r="N63" i="129"/>
  <c r="M63" i="129"/>
  <c r="L63" i="129"/>
  <c r="J63" i="129"/>
  <c r="AG62" i="129"/>
  <c r="AF62" i="129"/>
  <c r="AE62" i="129"/>
  <c r="Q62" i="129"/>
  <c r="AI62" i="129" s="1"/>
  <c r="N62" i="129"/>
  <c r="M62" i="129"/>
  <c r="L62" i="129"/>
  <c r="J62" i="129"/>
  <c r="AH61" i="129"/>
  <c r="AG61" i="129"/>
  <c r="AF61" i="129"/>
  <c r="AE61" i="129"/>
  <c r="Q61" i="129"/>
  <c r="AI61" i="129" s="1"/>
  <c r="N61" i="129"/>
  <c r="M61" i="129"/>
  <c r="L61" i="129"/>
  <c r="J61" i="129"/>
  <c r="AG60" i="129"/>
  <c r="AF60" i="129"/>
  <c r="AE60" i="129"/>
  <c r="Q60" i="129"/>
  <c r="AI60" i="129" s="1"/>
  <c r="N60" i="129"/>
  <c r="M60" i="129"/>
  <c r="L60" i="129"/>
  <c r="J60" i="129"/>
  <c r="AG59" i="129"/>
  <c r="AF59" i="129"/>
  <c r="AE59" i="129"/>
  <c r="Q59" i="129"/>
  <c r="AI59" i="129" s="1"/>
  <c r="N59" i="129"/>
  <c r="M59" i="129"/>
  <c r="L59" i="129"/>
  <c r="J59" i="129"/>
  <c r="AG58" i="129"/>
  <c r="AF58" i="129"/>
  <c r="AE58" i="129"/>
  <c r="Q58" i="129"/>
  <c r="AI58" i="129" s="1"/>
  <c r="N58" i="129"/>
  <c r="M58" i="129"/>
  <c r="L58" i="129"/>
  <c r="J58" i="129"/>
  <c r="AG57" i="129"/>
  <c r="AF57" i="129"/>
  <c r="AE57" i="129"/>
  <c r="AD57" i="129"/>
  <c r="S57" i="129"/>
  <c r="Q57" i="129"/>
  <c r="N57" i="129"/>
  <c r="M57" i="129"/>
  <c r="L57" i="129"/>
  <c r="J57" i="129"/>
  <c r="AG56" i="129"/>
  <c r="AF56" i="129"/>
  <c r="AE56" i="129"/>
  <c r="Q56" i="129"/>
  <c r="T56" i="129" s="1"/>
  <c r="N56" i="129"/>
  <c r="M56" i="129"/>
  <c r="L56" i="129"/>
  <c r="J56" i="129"/>
  <c r="AG55" i="129"/>
  <c r="AF55" i="129"/>
  <c r="AE55" i="129"/>
  <c r="AD55" i="129"/>
  <c r="S55" i="129"/>
  <c r="Q55" i="129"/>
  <c r="AI55" i="129" s="1"/>
  <c r="N55" i="129"/>
  <c r="M55" i="129"/>
  <c r="L55" i="129"/>
  <c r="J55" i="129"/>
  <c r="AG54" i="129"/>
  <c r="AF54" i="129"/>
  <c r="AE54" i="129"/>
  <c r="Q54" i="129"/>
  <c r="AI54" i="129" s="1"/>
  <c r="N54" i="129"/>
  <c r="M54" i="129"/>
  <c r="L54" i="129"/>
  <c r="J54" i="129"/>
  <c r="AH53" i="129"/>
  <c r="AG53" i="129"/>
  <c r="AF53" i="129"/>
  <c r="AE53" i="129"/>
  <c r="AD53" i="129"/>
  <c r="S53" i="129"/>
  <c r="Q53" i="129"/>
  <c r="N53" i="129"/>
  <c r="M53" i="129"/>
  <c r="L53" i="129"/>
  <c r="J53" i="129"/>
  <c r="AG52" i="129"/>
  <c r="AF52" i="129"/>
  <c r="AE52" i="129"/>
  <c r="AD52" i="129"/>
  <c r="Q52" i="129"/>
  <c r="T52" i="129" s="1"/>
  <c r="N52" i="129"/>
  <c r="M52" i="129"/>
  <c r="L52" i="129"/>
  <c r="J52" i="129"/>
  <c r="AG51" i="129"/>
  <c r="AF51" i="129"/>
  <c r="AE51" i="129"/>
  <c r="AD51" i="129"/>
  <c r="S51" i="129"/>
  <c r="Q51" i="129"/>
  <c r="AI51" i="129" s="1"/>
  <c r="N51" i="129"/>
  <c r="M51" i="129"/>
  <c r="L51" i="129"/>
  <c r="J51" i="129"/>
  <c r="AG50" i="129"/>
  <c r="AF50" i="129"/>
  <c r="AE50" i="129"/>
  <c r="Q50" i="129"/>
  <c r="AI50" i="129" s="1"/>
  <c r="N50" i="129"/>
  <c r="M50" i="129"/>
  <c r="L50" i="129"/>
  <c r="J50" i="129"/>
  <c r="AH49" i="129"/>
  <c r="AG49" i="129"/>
  <c r="AF49" i="129"/>
  <c r="AE49" i="129"/>
  <c r="AD49" i="129"/>
  <c r="S49" i="129"/>
  <c r="Q49" i="129"/>
  <c r="N49" i="129"/>
  <c r="M49" i="129"/>
  <c r="L49" i="129"/>
  <c r="J49" i="129"/>
  <c r="AG48" i="129"/>
  <c r="AF48" i="129"/>
  <c r="AE48" i="129"/>
  <c r="AD48" i="129"/>
  <c r="Q48" i="129"/>
  <c r="T48" i="129" s="1"/>
  <c r="N48" i="129"/>
  <c r="M48" i="129"/>
  <c r="L48" i="129"/>
  <c r="J48" i="129"/>
  <c r="AG47" i="129"/>
  <c r="AF47" i="129"/>
  <c r="AE47" i="129"/>
  <c r="AD47" i="129"/>
  <c r="S47" i="129"/>
  <c r="Q47" i="129"/>
  <c r="AI47" i="129" s="1"/>
  <c r="N47" i="129"/>
  <c r="M47" i="129"/>
  <c r="L47" i="129"/>
  <c r="J47" i="129"/>
  <c r="AG46" i="129"/>
  <c r="AF46" i="129"/>
  <c r="AE46" i="129"/>
  <c r="Q46" i="129"/>
  <c r="AI46" i="129" s="1"/>
  <c r="N46" i="129"/>
  <c r="M46" i="129"/>
  <c r="L46" i="129"/>
  <c r="J46" i="129"/>
  <c r="AH45" i="129"/>
  <c r="AG45" i="129"/>
  <c r="AF45" i="129"/>
  <c r="AE45" i="129"/>
  <c r="AD45" i="129"/>
  <c r="S45" i="129"/>
  <c r="Q45" i="129"/>
  <c r="N45" i="129"/>
  <c r="M45" i="129"/>
  <c r="L45" i="129"/>
  <c r="J45" i="129"/>
  <c r="AG44" i="129"/>
  <c r="AF44" i="129"/>
  <c r="AE44" i="129"/>
  <c r="AD44" i="129"/>
  <c r="Q44" i="129"/>
  <c r="T44" i="129" s="1"/>
  <c r="N44" i="129"/>
  <c r="M44" i="129"/>
  <c r="L44" i="129"/>
  <c r="J44" i="129"/>
  <c r="AG43" i="129"/>
  <c r="AF43" i="129"/>
  <c r="AE43" i="129"/>
  <c r="AD43" i="129"/>
  <c r="S43" i="129"/>
  <c r="Q43" i="129"/>
  <c r="AI43" i="129" s="1"/>
  <c r="N43" i="129"/>
  <c r="M43" i="129"/>
  <c r="L43" i="129"/>
  <c r="J43" i="129"/>
  <c r="AG42" i="129"/>
  <c r="AF42" i="129"/>
  <c r="AE42" i="129"/>
  <c r="Q42" i="129"/>
  <c r="AI42" i="129" s="1"/>
  <c r="N42" i="129"/>
  <c r="M42" i="129"/>
  <c r="L42" i="129"/>
  <c r="J42" i="129"/>
  <c r="AH41" i="129"/>
  <c r="AG41" i="129"/>
  <c r="AF41" i="129"/>
  <c r="AE41" i="129"/>
  <c r="AD41" i="129"/>
  <c r="S41" i="129"/>
  <c r="Q41" i="129"/>
  <c r="N41" i="129"/>
  <c r="M41" i="129"/>
  <c r="L41" i="129"/>
  <c r="J41" i="129"/>
  <c r="AG40" i="129"/>
  <c r="AF40" i="129"/>
  <c r="AE40" i="129"/>
  <c r="AD40" i="129"/>
  <c r="Q40" i="129"/>
  <c r="T40" i="129" s="1"/>
  <c r="N40" i="129"/>
  <c r="M40" i="129"/>
  <c r="L40" i="129"/>
  <c r="J40" i="129"/>
  <c r="AG39" i="129"/>
  <c r="AF39" i="129"/>
  <c r="AE39" i="129"/>
  <c r="AD39" i="129"/>
  <c r="S39" i="129"/>
  <c r="Q39" i="129"/>
  <c r="AI39" i="129" s="1"/>
  <c r="N39" i="129"/>
  <c r="M39" i="129"/>
  <c r="L39" i="129"/>
  <c r="J39" i="129"/>
  <c r="AG38" i="129"/>
  <c r="AF38" i="129"/>
  <c r="AE38" i="129"/>
  <c r="Q38" i="129"/>
  <c r="AI38" i="129" s="1"/>
  <c r="N38" i="129"/>
  <c r="M38" i="129"/>
  <c r="L38" i="129"/>
  <c r="J38" i="129"/>
  <c r="AH37" i="129"/>
  <c r="AG37" i="129"/>
  <c r="AF37" i="129"/>
  <c r="AE37" i="129"/>
  <c r="AD37" i="129"/>
  <c r="S37" i="129"/>
  <c r="Q37" i="129"/>
  <c r="N37" i="129"/>
  <c r="M37" i="129"/>
  <c r="L37" i="129"/>
  <c r="J37" i="129"/>
  <c r="AG36" i="129"/>
  <c r="AF36" i="129"/>
  <c r="AE36" i="129"/>
  <c r="AD36" i="129"/>
  <c r="Q36" i="129"/>
  <c r="T36" i="129" s="1"/>
  <c r="N36" i="129"/>
  <c r="M36" i="129"/>
  <c r="L36" i="129"/>
  <c r="J36" i="129"/>
  <c r="AG35" i="129"/>
  <c r="AF35" i="129"/>
  <c r="AE35" i="129"/>
  <c r="AD35" i="129"/>
  <c r="S35" i="129"/>
  <c r="Q35" i="129"/>
  <c r="AI35" i="129" s="1"/>
  <c r="N35" i="129"/>
  <c r="M35" i="129"/>
  <c r="L35" i="129"/>
  <c r="J35" i="129"/>
  <c r="AG34" i="129"/>
  <c r="AF34" i="129"/>
  <c r="AE34" i="129"/>
  <c r="Q34" i="129"/>
  <c r="AI34" i="129" s="1"/>
  <c r="N34" i="129"/>
  <c r="M34" i="129"/>
  <c r="L34" i="129"/>
  <c r="J34" i="129"/>
  <c r="AH33" i="129"/>
  <c r="AG33" i="129"/>
  <c r="AF33" i="129"/>
  <c r="AE33" i="129"/>
  <c r="AD33" i="129"/>
  <c r="S33" i="129"/>
  <c r="Q33" i="129"/>
  <c r="N33" i="129"/>
  <c r="M33" i="129"/>
  <c r="L33" i="129"/>
  <c r="J33" i="129"/>
  <c r="AG32" i="129"/>
  <c r="AF32" i="129"/>
  <c r="AE32" i="129"/>
  <c r="AD32" i="129"/>
  <c r="Q32" i="129"/>
  <c r="T32" i="129" s="1"/>
  <c r="N32" i="129"/>
  <c r="M32" i="129"/>
  <c r="L32" i="129"/>
  <c r="J32" i="129"/>
  <c r="AG31" i="129"/>
  <c r="AF31" i="129"/>
  <c r="AE31" i="129"/>
  <c r="AD31" i="129"/>
  <c r="S31" i="129"/>
  <c r="Q31" i="129"/>
  <c r="AI31" i="129" s="1"/>
  <c r="N31" i="129"/>
  <c r="M31" i="129"/>
  <c r="L31" i="129"/>
  <c r="J31" i="129"/>
  <c r="AH30" i="129"/>
  <c r="AG30" i="129"/>
  <c r="AF30" i="129"/>
  <c r="AE30" i="129"/>
  <c r="Q30" i="129"/>
  <c r="AI30" i="129" s="1"/>
  <c r="N30" i="129"/>
  <c r="M30" i="129"/>
  <c r="L30" i="129"/>
  <c r="J30" i="129"/>
  <c r="AH29" i="129"/>
  <c r="AG29" i="129"/>
  <c r="AF29" i="129"/>
  <c r="AE29" i="129"/>
  <c r="S29" i="129"/>
  <c r="Q29" i="129"/>
  <c r="N29" i="129"/>
  <c r="M29" i="129"/>
  <c r="L29" i="129"/>
  <c r="J29" i="129"/>
  <c r="AG28" i="129"/>
  <c r="AF28" i="129"/>
  <c r="AE28" i="129"/>
  <c r="AD28" i="129"/>
  <c r="Q28" i="129"/>
  <c r="T28" i="129" s="1"/>
  <c r="N28" i="129"/>
  <c r="M28" i="129"/>
  <c r="L28" i="129"/>
  <c r="J28" i="129"/>
  <c r="AG27" i="129"/>
  <c r="AF27" i="129"/>
  <c r="AE27" i="129"/>
  <c r="AD27" i="129"/>
  <c r="S27" i="129"/>
  <c r="Q27" i="129"/>
  <c r="AI27" i="129" s="1"/>
  <c r="N27" i="129"/>
  <c r="M27" i="129"/>
  <c r="L27" i="129"/>
  <c r="J27" i="129"/>
  <c r="AH26" i="129"/>
  <c r="AG26" i="129"/>
  <c r="AF26" i="129"/>
  <c r="AE26" i="129"/>
  <c r="Q26" i="129"/>
  <c r="AI26" i="129" s="1"/>
  <c r="N26" i="129"/>
  <c r="M26" i="129"/>
  <c r="L26" i="129"/>
  <c r="J26" i="129"/>
  <c r="AH25" i="129"/>
  <c r="AG25" i="129"/>
  <c r="AF25" i="129"/>
  <c r="AE25" i="129"/>
  <c r="AD25" i="129"/>
  <c r="S25" i="129"/>
  <c r="Q25" i="129"/>
  <c r="N25" i="129"/>
  <c r="M25" i="129"/>
  <c r="L25" i="129"/>
  <c r="J25" i="129"/>
  <c r="AG24" i="129"/>
  <c r="AF24" i="129"/>
  <c r="AE24" i="129"/>
  <c r="AD24" i="129"/>
  <c r="Q24" i="129"/>
  <c r="T24" i="129" s="1"/>
  <c r="N24" i="129"/>
  <c r="M24" i="129"/>
  <c r="L24" i="129"/>
  <c r="J24" i="129"/>
  <c r="AH23" i="129"/>
  <c r="AG23" i="129"/>
  <c r="AF23" i="129"/>
  <c r="AE23" i="129"/>
  <c r="AD23" i="129"/>
  <c r="S23" i="129"/>
  <c r="Q23" i="129"/>
  <c r="AI23" i="129" s="1"/>
  <c r="N23" i="129"/>
  <c r="M23" i="129"/>
  <c r="L23" i="129"/>
  <c r="J23" i="129"/>
  <c r="AH22" i="129"/>
  <c r="AG22" i="129"/>
  <c r="AF22" i="129"/>
  <c r="AE22" i="129"/>
  <c r="AD22" i="129"/>
  <c r="Q22" i="129"/>
  <c r="AI22" i="129" s="1"/>
  <c r="N22" i="129"/>
  <c r="M22" i="129"/>
  <c r="L22" i="129"/>
  <c r="J22" i="129"/>
  <c r="AH21" i="129"/>
  <c r="AG21" i="129"/>
  <c r="AF21" i="129"/>
  <c r="AE21" i="129"/>
  <c r="AD21" i="129"/>
  <c r="S21" i="129"/>
  <c r="Q21" i="129"/>
  <c r="T21" i="129" s="1"/>
  <c r="N21" i="129"/>
  <c r="M21" i="129"/>
  <c r="L21" i="129"/>
  <c r="J21" i="129"/>
  <c r="AH20" i="129"/>
  <c r="AG20" i="129"/>
  <c r="AF20" i="129"/>
  <c r="AE20" i="129"/>
  <c r="S20" i="129"/>
  <c r="Q20" i="129"/>
  <c r="AI20" i="129" s="1"/>
  <c r="N20" i="129"/>
  <c r="M20" i="129"/>
  <c r="L20" i="129"/>
  <c r="J20" i="129"/>
  <c r="AH19" i="129"/>
  <c r="AG19" i="129"/>
  <c r="AF19" i="129"/>
  <c r="AE19" i="129"/>
  <c r="AD19" i="129"/>
  <c r="S19" i="129"/>
  <c r="Q19" i="129"/>
  <c r="T19" i="129" s="1"/>
  <c r="Z19" i="129" s="1"/>
  <c r="N19" i="129"/>
  <c r="M19" i="129"/>
  <c r="M79" i="129" s="1"/>
  <c r="L19" i="129"/>
  <c r="J19" i="129"/>
  <c r="J79" i="129" s="1"/>
  <c r="N15" i="129"/>
  <c r="M15" i="129"/>
  <c r="L15" i="129"/>
  <c r="I11" i="129"/>
  <c r="Z79" i="128"/>
  <c r="I79" i="128"/>
  <c r="Z78" i="128"/>
  <c r="F78" i="128"/>
  <c r="AG77" i="128"/>
  <c r="AF77" i="128"/>
  <c r="AE77" i="128"/>
  <c r="Q77" i="128"/>
  <c r="AI77" i="128" s="1"/>
  <c r="N77" i="128"/>
  <c r="M77" i="128"/>
  <c r="L77" i="128"/>
  <c r="J77" i="128"/>
  <c r="AG76" i="128"/>
  <c r="AF76" i="128"/>
  <c r="AE76" i="128"/>
  <c r="Q76" i="128"/>
  <c r="N76" i="128"/>
  <c r="M76" i="128"/>
  <c r="L76" i="128"/>
  <c r="J76" i="128"/>
  <c r="AG75" i="128"/>
  <c r="AF75" i="128"/>
  <c r="AE75" i="128"/>
  <c r="Q75" i="128"/>
  <c r="AI75" i="128" s="1"/>
  <c r="N75" i="128"/>
  <c r="M75" i="128"/>
  <c r="L75" i="128"/>
  <c r="J75" i="128"/>
  <c r="AG74" i="128"/>
  <c r="AF74" i="128"/>
  <c r="AE74" i="128"/>
  <c r="Q74" i="128"/>
  <c r="T74" i="128" s="1"/>
  <c r="N74" i="128"/>
  <c r="M74" i="128"/>
  <c r="L74" i="128"/>
  <c r="J74" i="128"/>
  <c r="AG73" i="128"/>
  <c r="AF73" i="128"/>
  <c r="AE73" i="128"/>
  <c r="Q73" i="128"/>
  <c r="AI73" i="128" s="1"/>
  <c r="N73" i="128"/>
  <c r="M73" i="128"/>
  <c r="L73" i="128"/>
  <c r="J73" i="128"/>
  <c r="AG72" i="128"/>
  <c r="AF72" i="128"/>
  <c r="AE72" i="128"/>
  <c r="Q72" i="128"/>
  <c r="N72" i="128"/>
  <c r="M72" i="128"/>
  <c r="L72" i="128"/>
  <c r="J72" i="128"/>
  <c r="AG71" i="128"/>
  <c r="AF71" i="128"/>
  <c r="AE71" i="128"/>
  <c r="Q71" i="128"/>
  <c r="AI71" i="128" s="1"/>
  <c r="N71" i="128"/>
  <c r="M71" i="128"/>
  <c r="L71" i="128"/>
  <c r="J71" i="128"/>
  <c r="AG70" i="128"/>
  <c r="AF70" i="128"/>
  <c r="AE70" i="128"/>
  <c r="Q70" i="128"/>
  <c r="AI70" i="128" s="1"/>
  <c r="N70" i="128"/>
  <c r="M70" i="128"/>
  <c r="L70" i="128"/>
  <c r="J70" i="128"/>
  <c r="AG69" i="128"/>
  <c r="AF69" i="128"/>
  <c r="AE69" i="128"/>
  <c r="Q69" i="128"/>
  <c r="AI69" i="128" s="1"/>
  <c r="N69" i="128"/>
  <c r="M69" i="128"/>
  <c r="L69" i="128"/>
  <c r="J69" i="128"/>
  <c r="AH68" i="128"/>
  <c r="AG68" i="128"/>
  <c r="AF68" i="128"/>
  <c r="AE68" i="128"/>
  <c r="Q68" i="128"/>
  <c r="AI68" i="128" s="1"/>
  <c r="N68" i="128"/>
  <c r="M68" i="128"/>
  <c r="L68" i="128"/>
  <c r="J68" i="128"/>
  <c r="AG67" i="128"/>
  <c r="AF67" i="128"/>
  <c r="AE67" i="128"/>
  <c r="Q67" i="128"/>
  <c r="AI67" i="128" s="1"/>
  <c r="N67" i="128"/>
  <c r="M67" i="128"/>
  <c r="L67" i="128"/>
  <c r="J67" i="128"/>
  <c r="AG66" i="128"/>
  <c r="AF66" i="128"/>
  <c r="AE66" i="128"/>
  <c r="Q66" i="128"/>
  <c r="AI66" i="128" s="1"/>
  <c r="N66" i="128"/>
  <c r="M66" i="128"/>
  <c r="L66" i="128"/>
  <c r="J66" i="128"/>
  <c r="AG65" i="128"/>
  <c r="AF65" i="128"/>
  <c r="AE65" i="128"/>
  <c r="Q65" i="128"/>
  <c r="AI65" i="128" s="1"/>
  <c r="N65" i="128"/>
  <c r="M65" i="128"/>
  <c r="L65" i="128"/>
  <c r="J65" i="128"/>
  <c r="AG64" i="128"/>
  <c r="AF64" i="128"/>
  <c r="AE64" i="128"/>
  <c r="Q64" i="128"/>
  <c r="AI64" i="128" s="1"/>
  <c r="N64" i="128"/>
  <c r="M64" i="128"/>
  <c r="L64" i="128"/>
  <c r="J64" i="128"/>
  <c r="AG63" i="128"/>
  <c r="AF63" i="128"/>
  <c r="AE63" i="128"/>
  <c r="Q63" i="128"/>
  <c r="AI63" i="128" s="1"/>
  <c r="N63" i="128"/>
  <c r="M63" i="128"/>
  <c r="L63" i="128"/>
  <c r="J63" i="128"/>
  <c r="AH62" i="128"/>
  <c r="AG62" i="128"/>
  <c r="AF62" i="128"/>
  <c r="AE62" i="128"/>
  <c r="Q62" i="128"/>
  <c r="AI62" i="128" s="1"/>
  <c r="N62" i="128"/>
  <c r="M62" i="128"/>
  <c r="L62" i="128"/>
  <c r="J62" i="128"/>
  <c r="AG61" i="128"/>
  <c r="AF61" i="128"/>
  <c r="AE61" i="128"/>
  <c r="Q61" i="128"/>
  <c r="AI61" i="128" s="1"/>
  <c r="N61" i="128"/>
  <c r="M61" i="128"/>
  <c r="L61" i="128"/>
  <c r="J61" i="128"/>
  <c r="AG60" i="128"/>
  <c r="AF60" i="128"/>
  <c r="AE60" i="128"/>
  <c r="Q60" i="128"/>
  <c r="AI60" i="128" s="1"/>
  <c r="N60" i="128"/>
  <c r="M60" i="128"/>
  <c r="L60" i="128"/>
  <c r="J60" i="128"/>
  <c r="AG59" i="128"/>
  <c r="AF59" i="128"/>
  <c r="AE59" i="128"/>
  <c r="Q59" i="128"/>
  <c r="AI59" i="128" s="1"/>
  <c r="N59" i="128"/>
  <c r="M59" i="128"/>
  <c r="L59" i="128"/>
  <c r="J59" i="128"/>
  <c r="AG58" i="128"/>
  <c r="AF58" i="128"/>
  <c r="AE58" i="128"/>
  <c r="Q58" i="128"/>
  <c r="AI58" i="128" s="1"/>
  <c r="N58" i="128"/>
  <c r="M58" i="128"/>
  <c r="L58" i="128"/>
  <c r="J58" i="128"/>
  <c r="AG57" i="128"/>
  <c r="AF57" i="128"/>
  <c r="AE57" i="128"/>
  <c r="Q57" i="128"/>
  <c r="AI57" i="128" s="1"/>
  <c r="N57" i="128"/>
  <c r="M57" i="128"/>
  <c r="L57" i="128"/>
  <c r="J57" i="128"/>
  <c r="AH56" i="128"/>
  <c r="AG56" i="128"/>
  <c r="AF56" i="128"/>
  <c r="AE56" i="128"/>
  <c r="Q56" i="128"/>
  <c r="AI56" i="128" s="1"/>
  <c r="N56" i="128"/>
  <c r="M56" i="128"/>
  <c r="L56" i="128"/>
  <c r="J56" i="128"/>
  <c r="AG55" i="128"/>
  <c r="AF55" i="128"/>
  <c r="AE55" i="128"/>
  <c r="Q55" i="128"/>
  <c r="AI55" i="128" s="1"/>
  <c r="N55" i="128"/>
  <c r="M55" i="128"/>
  <c r="L55" i="128"/>
  <c r="J55" i="128"/>
  <c r="AG54" i="128"/>
  <c r="AF54" i="128"/>
  <c r="AE54" i="128"/>
  <c r="Q54" i="128"/>
  <c r="AI54" i="128" s="1"/>
  <c r="N54" i="128"/>
  <c r="M54" i="128"/>
  <c r="L54" i="128"/>
  <c r="J54" i="128"/>
  <c r="AG53" i="128"/>
  <c r="AF53" i="128"/>
  <c r="AE53" i="128"/>
  <c r="Q53" i="128"/>
  <c r="AI53" i="128" s="1"/>
  <c r="N53" i="128"/>
  <c r="M53" i="128"/>
  <c r="L53" i="128"/>
  <c r="J53" i="128"/>
  <c r="AG52" i="128"/>
  <c r="AF52" i="128"/>
  <c r="AE52" i="128"/>
  <c r="Q52" i="128"/>
  <c r="AI52" i="128" s="1"/>
  <c r="N52" i="128"/>
  <c r="M52" i="128"/>
  <c r="L52" i="128"/>
  <c r="J52" i="128"/>
  <c r="AG51" i="128"/>
  <c r="AF51" i="128"/>
  <c r="AE51" i="128"/>
  <c r="Q51" i="128"/>
  <c r="AI51" i="128" s="1"/>
  <c r="N51" i="128"/>
  <c r="M51" i="128"/>
  <c r="L51" i="128"/>
  <c r="J51" i="128"/>
  <c r="AH50" i="128"/>
  <c r="AG50" i="128"/>
  <c r="AF50" i="128"/>
  <c r="AE50" i="128"/>
  <c r="Q50" i="128"/>
  <c r="AI50" i="128" s="1"/>
  <c r="N50" i="128"/>
  <c r="M50" i="128"/>
  <c r="L50" i="128"/>
  <c r="J50" i="128"/>
  <c r="AG49" i="128"/>
  <c r="AF49" i="128"/>
  <c r="AE49" i="128"/>
  <c r="Q49" i="128"/>
  <c r="AI49" i="128" s="1"/>
  <c r="N49" i="128"/>
  <c r="M49" i="128"/>
  <c r="L49" i="128"/>
  <c r="J49" i="128"/>
  <c r="AG48" i="128"/>
  <c r="AF48" i="128"/>
  <c r="AE48" i="128"/>
  <c r="Q48" i="128"/>
  <c r="AI48" i="128" s="1"/>
  <c r="N48" i="128"/>
  <c r="M48" i="128"/>
  <c r="L48" i="128"/>
  <c r="J48" i="128"/>
  <c r="AG47" i="128"/>
  <c r="AF47" i="128"/>
  <c r="AE47" i="128"/>
  <c r="Q47" i="128"/>
  <c r="AI47" i="128" s="1"/>
  <c r="N47" i="128"/>
  <c r="M47" i="128"/>
  <c r="L47" i="128"/>
  <c r="J47" i="128"/>
  <c r="AG46" i="128"/>
  <c r="AF46" i="128"/>
  <c r="AE46" i="128"/>
  <c r="Q46" i="128"/>
  <c r="AI46" i="128" s="1"/>
  <c r="N46" i="128"/>
  <c r="M46" i="128"/>
  <c r="L46" i="128"/>
  <c r="J46" i="128"/>
  <c r="AG45" i="128"/>
  <c r="AF45" i="128"/>
  <c r="AE45" i="128"/>
  <c r="Q45" i="128"/>
  <c r="AI45" i="128" s="1"/>
  <c r="N45" i="128"/>
  <c r="M45" i="128"/>
  <c r="L45" i="128"/>
  <c r="J45" i="128"/>
  <c r="AH44" i="128"/>
  <c r="AG44" i="128"/>
  <c r="AF44" i="128"/>
  <c r="AE44" i="128"/>
  <c r="Q44" i="128"/>
  <c r="AI44" i="128" s="1"/>
  <c r="N44" i="128"/>
  <c r="M44" i="128"/>
  <c r="L44" i="128"/>
  <c r="J44" i="128"/>
  <c r="AG43" i="128"/>
  <c r="AF43" i="128"/>
  <c r="AE43" i="128"/>
  <c r="Q43" i="128"/>
  <c r="AI43" i="128" s="1"/>
  <c r="N43" i="128"/>
  <c r="M43" i="128"/>
  <c r="L43" i="128"/>
  <c r="J43" i="128"/>
  <c r="AG42" i="128"/>
  <c r="AF42" i="128"/>
  <c r="AE42" i="128"/>
  <c r="Q42" i="128"/>
  <c r="AI42" i="128" s="1"/>
  <c r="N42" i="128"/>
  <c r="M42" i="128"/>
  <c r="L42" i="128"/>
  <c r="J42" i="128"/>
  <c r="AG41" i="128"/>
  <c r="AF41" i="128"/>
  <c r="AE41" i="128"/>
  <c r="Q41" i="128"/>
  <c r="AI41" i="128" s="1"/>
  <c r="N41" i="128"/>
  <c r="M41" i="128"/>
  <c r="L41" i="128"/>
  <c r="J41" i="128"/>
  <c r="AG40" i="128"/>
  <c r="AF40" i="128"/>
  <c r="AE40" i="128"/>
  <c r="Q40" i="128"/>
  <c r="AI40" i="128" s="1"/>
  <c r="N40" i="128"/>
  <c r="M40" i="128"/>
  <c r="L40" i="128"/>
  <c r="J40" i="128"/>
  <c r="AG39" i="128"/>
  <c r="AF39" i="128"/>
  <c r="AE39" i="128"/>
  <c r="Q39" i="128"/>
  <c r="AI39" i="128" s="1"/>
  <c r="N39" i="128"/>
  <c r="M39" i="128"/>
  <c r="L39" i="128"/>
  <c r="J39" i="128"/>
  <c r="AH38" i="128"/>
  <c r="AG38" i="128"/>
  <c r="AF38" i="128"/>
  <c r="AE38" i="128"/>
  <c r="Q38" i="128"/>
  <c r="AI38" i="128" s="1"/>
  <c r="N38" i="128"/>
  <c r="M38" i="128"/>
  <c r="L38" i="128"/>
  <c r="J38" i="128"/>
  <c r="AG37" i="128"/>
  <c r="AF37" i="128"/>
  <c r="AE37" i="128"/>
  <c r="Q37" i="128"/>
  <c r="AI37" i="128" s="1"/>
  <c r="N37" i="128"/>
  <c r="M37" i="128"/>
  <c r="L37" i="128"/>
  <c r="J37" i="128"/>
  <c r="AG36" i="128"/>
  <c r="AF36" i="128"/>
  <c r="AE36" i="128"/>
  <c r="Q36" i="128"/>
  <c r="AI36" i="128" s="1"/>
  <c r="N36" i="128"/>
  <c r="M36" i="128"/>
  <c r="L36" i="128"/>
  <c r="J36" i="128"/>
  <c r="AG35" i="128"/>
  <c r="AF35" i="128"/>
  <c r="AE35" i="128"/>
  <c r="Q35" i="128"/>
  <c r="AI35" i="128" s="1"/>
  <c r="N35" i="128"/>
  <c r="M35" i="128"/>
  <c r="L35" i="128"/>
  <c r="J35" i="128"/>
  <c r="AG34" i="128"/>
  <c r="AF34" i="128"/>
  <c r="AE34" i="128"/>
  <c r="Q34" i="128"/>
  <c r="AI34" i="128" s="1"/>
  <c r="N34" i="128"/>
  <c r="M34" i="128"/>
  <c r="L34" i="128"/>
  <c r="J34" i="128"/>
  <c r="AG33" i="128"/>
  <c r="AF33" i="128"/>
  <c r="AE33" i="128"/>
  <c r="Q33" i="128"/>
  <c r="AI33" i="128" s="1"/>
  <c r="N33" i="128"/>
  <c r="M33" i="128"/>
  <c r="L33" i="128"/>
  <c r="J33" i="128"/>
  <c r="AH32" i="128"/>
  <c r="AG32" i="128"/>
  <c r="AF32" i="128"/>
  <c r="AE32" i="128"/>
  <c r="Q32" i="128"/>
  <c r="AI32" i="128" s="1"/>
  <c r="N32" i="128"/>
  <c r="M32" i="128"/>
  <c r="L32" i="128"/>
  <c r="J32" i="128"/>
  <c r="AG31" i="128"/>
  <c r="AF31" i="128"/>
  <c r="AE31" i="128"/>
  <c r="Q31" i="128"/>
  <c r="AI31" i="128" s="1"/>
  <c r="N31" i="128"/>
  <c r="M31" i="128"/>
  <c r="L31" i="128"/>
  <c r="J31" i="128"/>
  <c r="AG30" i="128"/>
  <c r="AF30" i="128"/>
  <c r="AE30" i="128"/>
  <c r="Q30" i="128"/>
  <c r="AI30" i="128" s="1"/>
  <c r="N30" i="128"/>
  <c r="M30" i="128"/>
  <c r="L30" i="128"/>
  <c r="J30" i="128"/>
  <c r="AG29" i="128"/>
  <c r="AF29" i="128"/>
  <c r="AE29" i="128"/>
  <c r="Q29" i="128"/>
  <c r="AI29" i="128" s="1"/>
  <c r="N29" i="128"/>
  <c r="M29" i="128"/>
  <c r="L29" i="128"/>
  <c r="J29" i="128"/>
  <c r="AG28" i="128"/>
  <c r="AF28" i="128"/>
  <c r="AE28" i="128"/>
  <c r="Q28" i="128"/>
  <c r="AI28" i="128" s="1"/>
  <c r="N28" i="128"/>
  <c r="M28" i="128"/>
  <c r="L28" i="128"/>
  <c r="J28" i="128"/>
  <c r="AG27" i="128"/>
  <c r="AF27" i="128"/>
  <c r="AE27" i="128"/>
  <c r="Q27" i="128"/>
  <c r="AI27" i="128" s="1"/>
  <c r="N27" i="128"/>
  <c r="M27" i="128"/>
  <c r="L27" i="128"/>
  <c r="J27" i="128"/>
  <c r="AH26" i="128"/>
  <c r="AG26" i="128"/>
  <c r="AF26" i="128"/>
  <c r="AE26" i="128"/>
  <c r="Q26" i="128"/>
  <c r="AI26" i="128" s="1"/>
  <c r="N26" i="128"/>
  <c r="M26" i="128"/>
  <c r="L26" i="128"/>
  <c r="J26" i="128"/>
  <c r="AG25" i="128"/>
  <c r="AF25" i="128"/>
  <c r="AE25" i="128"/>
  <c r="Q25" i="128"/>
  <c r="AI25" i="128" s="1"/>
  <c r="N25" i="128"/>
  <c r="M25" i="128"/>
  <c r="L25" i="128"/>
  <c r="J25" i="128"/>
  <c r="AG24" i="128"/>
  <c r="AF24" i="128"/>
  <c r="AE24" i="128"/>
  <c r="Q24" i="128"/>
  <c r="AI24" i="128" s="1"/>
  <c r="N24" i="128"/>
  <c r="M24" i="128"/>
  <c r="L24" i="128"/>
  <c r="J24" i="128"/>
  <c r="AG23" i="128"/>
  <c r="AF23" i="128"/>
  <c r="AE23" i="128"/>
  <c r="Q23" i="128"/>
  <c r="N23" i="128"/>
  <c r="M23" i="128"/>
  <c r="L23" i="128"/>
  <c r="J23" i="128"/>
  <c r="AG22" i="128"/>
  <c r="AF22" i="128"/>
  <c r="AE22" i="128"/>
  <c r="Q22" i="128"/>
  <c r="AI22" i="128" s="1"/>
  <c r="N22" i="128"/>
  <c r="M22" i="128"/>
  <c r="L22" i="128"/>
  <c r="J22" i="128"/>
  <c r="AG21" i="128"/>
  <c r="AF21" i="128"/>
  <c r="AE21" i="128"/>
  <c r="S21" i="128"/>
  <c r="Q21" i="128"/>
  <c r="T21" i="128" s="1"/>
  <c r="N21" i="128"/>
  <c r="M21" i="128"/>
  <c r="L21" i="128"/>
  <c r="J21" i="128"/>
  <c r="AG20" i="128"/>
  <c r="AF20" i="128"/>
  <c r="AE20" i="128"/>
  <c r="Q20" i="128"/>
  <c r="N20" i="128"/>
  <c r="M20" i="128"/>
  <c r="L20" i="128"/>
  <c r="J20" i="128"/>
  <c r="AG19" i="128"/>
  <c r="AF19" i="128"/>
  <c r="AE19" i="128"/>
  <c r="S19" i="128"/>
  <c r="Q19" i="128"/>
  <c r="N19" i="128"/>
  <c r="M19" i="128"/>
  <c r="L19" i="128"/>
  <c r="J19" i="128"/>
  <c r="J79" i="128" s="1"/>
  <c r="N15" i="128"/>
  <c r="M15" i="128"/>
  <c r="L15" i="128"/>
  <c r="I11" i="128"/>
  <c r="AD45" i="128"/>
  <c r="Z78" i="117"/>
  <c r="Z79" i="117"/>
  <c r="AI19" i="128" l="1"/>
  <c r="T19" i="128"/>
  <c r="AI20" i="128"/>
  <c r="T20" i="128"/>
  <c r="AI23" i="128"/>
  <c r="T23" i="128"/>
  <c r="AI72" i="128"/>
  <c r="T72" i="128"/>
  <c r="AI76" i="128"/>
  <c r="T76" i="128"/>
  <c r="AI25" i="129"/>
  <c r="T25" i="129"/>
  <c r="AI29" i="129"/>
  <c r="T29" i="129"/>
  <c r="AI33" i="129"/>
  <c r="T33" i="129"/>
  <c r="AI37" i="129"/>
  <c r="T37" i="129"/>
  <c r="AI41" i="129"/>
  <c r="T41" i="129"/>
  <c r="AI45" i="129"/>
  <c r="T45" i="129"/>
  <c r="AI49" i="129"/>
  <c r="T49" i="129"/>
  <c r="AI53" i="129"/>
  <c r="T53" i="129"/>
  <c r="AI57" i="129"/>
  <c r="T57" i="129"/>
  <c r="AI68" i="129"/>
  <c r="T68" i="129"/>
  <c r="AI70" i="129"/>
  <c r="T70" i="129"/>
  <c r="AI74" i="129"/>
  <c r="T74" i="129"/>
  <c r="AI20" i="130"/>
  <c r="T20" i="130"/>
  <c r="AI23" i="130"/>
  <c r="T23" i="130"/>
  <c r="AI24" i="130"/>
  <c r="T24" i="130"/>
  <c r="AI25" i="130"/>
  <c r="T25" i="130"/>
  <c r="AI26" i="130"/>
  <c r="T26" i="130"/>
  <c r="AI27" i="130"/>
  <c r="T27" i="130"/>
  <c r="AI28" i="130"/>
  <c r="T28" i="130"/>
  <c r="AI29" i="130"/>
  <c r="T29" i="130"/>
  <c r="AI30" i="130"/>
  <c r="T30" i="130"/>
  <c r="AI31" i="130"/>
  <c r="T31" i="130"/>
  <c r="AI32" i="130"/>
  <c r="T32" i="130"/>
  <c r="AI33" i="130"/>
  <c r="T33" i="130"/>
  <c r="AI34" i="130"/>
  <c r="T34" i="130"/>
  <c r="AI35" i="130"/>
  <c r="T35" i="130"/>
  <c r="AI36" i="130"/>
  <c r="T36" i="130"/>
  <c r="AI37" i="130"/>
  <c r="T37" i="130"/>
  <c r="AI38" i="130"/>
  <c r="T38" i="130"/>
  <c r="AI39" i="130"/>
  <c r="T39" i="130"/>
  <c r="AI40" i="130"/>
  <c r="T40" i="130"/>
  <c r="AI41" i="130"/>
  <c r="T41" i="130"/>
  <c r="AI42" i="130"/>
  <c r="T42" i="130"/>
  <c r="AI43" i="130"/>
  <c r="T43" i="130"/>
  <c r="AI44" i="130"/>
  <c r="T44" i="130"/>
  <c r="AI45" i="130"/>
  <c r="T45" i="130"/>
  <c r="AI46" i="130"/>
  <c r="T46" i="130"/>
  <c r="AI47" i="130"/>
  <c r="T47" i="130"/>
  <c r="AI48" i="130"/>
  <c r="T48" i="130"/>
  <c r="AI49" i="130"/>
  <c r="T49" i="130"/>
  <c r="AI50" i="130"/>
  <c r="T50" i="130"/>
  <c r="AI51" i="130"/>
  <c r="T51" i="130"/>
  <c r="AI52" i="130"/>
  <c r="T52" i="130"/>
  <c r="AI53" i="130"/>
  <c r="T53" i="130"/>
  <c r="AI54" i="130"/>
  <c r="T54" i="130"/>
  <c r="AI55" i="130"/>
  <c r="T55" i="130"/>
  <c r="AI56" i="130"/>
  <c r="T56" i="130"/>
  <c r="AI57" i="130"/>
  <c r="T57" i="130"/>
  <c r="AI58" i="130"/>
  <c r="T58" i="130"/>
  <c r="AI59" i="130"/>
  <c r="T59" i="130"/>
  <c r="AI60" i="130"/>
  <c r="T60" i="130"/>
  <c r="AI61" i="130"/>
  <c r="T61" i="130"/>
  <c r="AI62" i="130"/>
  <c r="T62" i="130"/>
  <c r="AI63" i="130"/>
  <c r="T63" i="130"/>
  <c r="AI64" i="130"/>
  <c r="T64" i="130"/>
  <c r="AI65" i="130"/>
  <c r="T65" i="130"/>
  <c r="AI66" i="130"/>
  <c r="T66" i="130"/>
  <c r="AI67" i="130"/>
  <c r="T67" i="130"/>
  <c r="AI68" i="130"/>
  <c r="T68" i="130"/>
  <c r="AI69" i="130"/>
  <c r="T69" i="130"/>
  <c r="AI70" i="130"/>
  <c r="T70" i="130"/>
  <c r="AI71" i="130"/>
  <c r="T71" i="130"/>
  <c r="AI72" i="130"/>
  <c r="T72" i="130"/>
  <c r="AI73" i="130"/>
  <c r="T73" i="130"/>
  <c r="AI74" i="130"/>
  <c r="T74" i="130"/>
  <c r="AI75" i="130"/>
  <c r="T75" i="130"/>
  <c r="AI76" i="130"/>
  <c r="T76" i="130"/>
  <c r="T22" i="128"/>
  <c r="T24" i="128"/>
  <c r="T42" i="128"/>
  <c r="T60" i="128"/>
  <c r="T70" i="128"/>
  <c r="L79" i="129"/>
  <c r="AB25" i="129"/>
  <c r="T19" i="130"/>
  <c r="T21" i="130"/>
  <c r="AI74" i="128"/>
  <c r="AI21" i="129"/>
  <c r="AI21" i="128"/>
  <c r="AI28" i="129"/>
  <c r="AI40" i="129"/>
  <c r="AI52" i="129"/>
  <c r="AI76" i="129"/>
  <c r="T30" i="128"/>
  <c r="T48" i="128"/>
  <c r="T66" i="128"/>
  <c r="T62" i="129"/>
  <c r="L79" i="130"/>
  <c r="AI24" i="129"/>
  <c r="AI36" i="129"/>
  <c r="AI48" i="129"/>
  <c r="AI72" i="129"/>
  <c r="T36" i="128"/>
  <c r="T54" i="128"/>
  <c r="AB37" i="129"/>
  <c r="AB53" i="129"/>
  <c r="AI19" i="129"/>
  <c r="AB19" i="129" s="1"/>
  <c r="AI32" i="129"/>
  <c r="AI44" i="129"/>
  <c r="AI56" i="129"/>
  <c r="Z21" i="129"/>
  <c r="AD29" i="129"/>
  <c r="AB49" i="129"/>
  <c r="AB20" i="129"/>
  <c r="AB45" i="129"/>
  <c r="AB33" i="129"/>
  <c r="AB41" i="129"/>
  <c r="AB21" i="129"/>
  <c r="AB23" i="129"/>
  <c r="AB29" i="129"/>
  <c r="AF79" i="128"/>
  <c r="AH25" i="130"/>
  <c r="AE79" i="130"/>
  <c r="S19" i="130"/>
  <c r="AF79" i="130"/>
  <c r="S21" i="130"/>
  <c r="AD22" i="130"/>
  <c r="AD23" i="130"/>
  <c r="AD24" i="130"/>
  <c r="AD25" i="130"/>
  <c r="AD26" i="130"/>
  <c r="AD27" i="130"/>
  <c r="AD28" i="130"/>
  <c r="AD29" i="130"/>
  <c r="AD30" i="130"/>
  <c r="AD31" i="130"/>
  <c r="AD32" i="130"/>
  <c r="AD33" i="130"/>
  <c r="AD34" i="130"/>
  <c r="AD35" i="130"/>
  <c r="AD36" i="130"/>
  <c r="AD37" i="130"/>
  <c r="AD38" i="130"/>
  <c r="AD39" i="130"/>
  <c r="AD40" i="130"/>
  <c r="AD41" i="130"/>
  <c r="AD42" i="130"/>
  <c r="AD43" i="130"/>
  <c r="AD44" i="130"/>
  <c r="AD45" i="130"/>
  <c r="AD46" i="130"/>
  <c r="AD47" i="130"/>
  <c r="AD48" i="130"/>
  <c r="AD49" i="130"/>
  <c r="AD50" i="130"/>
  <c r="AD51" i="130"/>
  <c r="AD52" i="130"/>
  <c r="AD53" i="130"/>
  <c r="AD54" i="130"/>
  <c r="AD55" i="130"/>
  <c r="AD56" i="130"/>
  <c r="AD57" i="130"/>
  <c r="AD58" i="130"/>
  <c r="AD59" i="130"/>
  <c r="AD60" i="130"/>
  <c r="AD61" i="130"/>
  <c r="AD62" i="130"/>
  <c r="AD63" i="130"/>
  <c r="AD64" i="130"/>
  <c r="AD65" i="130"/>
  <c r="AD66" i="130"/>
  <c r="AD67" i="130"/>
  <c r="AD68" i="130"/>
  <c r="AD69" i="130"/>
  <c r="AD70" i="130"/>
  <c r="AD71" i="130"/>
  <c r="AD72" i="130"/>
  <c r="AD73" i="130"/>
  <c r="AH77" i="130"/>
  <c r="AH75" i="130"/>
  <c r="S77" i="130"/>
  <c r="S75" i="130"/>
  <c r="S73" i="130"/>
  <c r="S71" i="130"/>
  <c r="S69" i="130"/>
  <c r="S67" i="130"/>
  <c r="S65" i="130"/>
  <c r="S63" i="130"/>
  <c r="S61" i="130"/>
  <c r="S59" i="130"/>
  <c r="S57" i="130"/>
  <c r="S55" i="130"/>
  <c r="S53" i="130"/>
  <c r="S51" i="130"/>
  <c r="S49" i="130"/>
  <c r="S47" i="130"/>
  <c r="S45" i="130"/>
  <c r="S43" i="130"/>
  <c r="S41" i="130"/>
  <c r="S39" i="130"/>
  <c r="S37" i="130"/>
  <c r="S35" i="130"/>
  <c r="S33" i="130"/>
  <c r="S31" i="130"/>
  <c r="S29" i="130"/>
  <c r="S27" i="130"/>
  <c r="S25" i="130"/>
  <c r="S23" i="130"/>
  <c r="S76" i="130"/>
  <c r="S74" i="130"/>
  <c r="S72" i="130"/>
  <c r="S70" i="130"/>
  <c r="S68" i="130"/>
  <c r="S66" i="130"/>
  <c r="S64" i="130"/>
  <c r="S62" i="130"/>
  <c r="S60" i="130"/>
  <c r="S58" i="130"/>
  <c r="S56" i="130"/>
  <c r="S54" i="130"/>
  <c r="S52" i="130"/>
  <c r="S50" i="130"/>
  <c r="S48" i="130"/>
  <c r="S46" i="130"/>
  <c r="S44" i="130"/>
  <c r="S42" i="130"/>
  <c r="S40" i="130"/>
  <c r="S38" i="130"/>
  <c r="S36" i="130"/>
  <c r="S34" i="130"/>
  <c r="S32" i="130"/>
  <c r="S30" i="130"/>
  <c r="S28" i="130"/>
  <c r="S26" i="130"/>
  <c r="S24" i="130"/>
  <c r="S22" i="130"/>
  <c r="AD20" i="130"/>
  <c r="AH19" i="130"/>
  <c r="AH21" i="130"/>
  <c r="AH76" i="130"/>
  <c r="T77" i="130"/>
  <c r="S20" i="130"/>
  <c r="T22" i="130"/>
  <c r="AD77" i="130"/>
  <c r="N79" i="130"/>
  <c r="AH23" i="130"/>
  <c r="AH24" i="130"/>
  <c r="AH26" i="130"/>
  <c r="AH27" i="130"/>
  <c r="AH28" i="130"/>
  <c r="AH29" i="130"/>
  <c r="AH30" i="130"/>
  <c r="AH31" i="130"/>
  <c r="AH32" i="130"/>
  <c r="AH33" i="130"/>
  <c r="AH34" i="130"/>
  <c r="AH35" i="130"/>
  <c r="AH36" i="130"/>
  <c r="AH37" i="130"/>
  <c r="AH38" i="130"/>
  <c r="AH39" i="130"/>
  <c r="AH40" i="130"/>
  <c r="AH41" i="130"/>
  <c r="AH42" i="130"/>
  <c r="AH43" i="130"/>
  <c r="AH44" i="130"/>
  <c r="AH45" i="130"/>
  <c r="AH46" i="130"/>
  <c r="AH47" i="130"/>
  <c r="AH48" i="130"/>
  <c r="AH49" i="130"/>
  <c r="AH50" i="130"/>
  <c r="AH51" i="130"/>
  <c r="AH52" i="130"/>
  <c r="AH53" i="130"/>
  <c r="AH54" i="130"/>
  <c r="AH55" i="130"/>
  <c r="AH56" i="130"/>
  <c r="AH57" i="130"/>
  <c r="AH58" i="130"/>
  <c r="AH59" i="130"/>
  <c r="AH60" i="130"/>
  <c r="AH61" i="130"/>
  <c r="AH62" i="130"/>
  <c r="AH63" i="130"/>
  <c r="AH64" i="130"/>
  <c r="AH65" i="130"/>
  <c r="AH66" i="130"/>
  <c r="AH67" i="130"/>
  <c r="AH68" i="130"/>
  <c r="AH69" i="130"/>
  <c r="AH70" i="130"/>
  <c r="AH71" i="130"/>
  <c r="AH72" i="130"/>
  <c r="AH73" i="130"/>
  <c r="AH74" i="130"/>
  <c r="AD76" i="130"/>
  <c r="AD19" i="130"/>
  <c r="AD21" i="130"/>
  <c r="AH22" i="130"/>
  <c r="AH20" i="130"/>
  <c r="AD75" i="130"/>
  <c r="T61" i="129"/>
  <c r="AE79" i="129"/>
  <c r="AH77" i="129"/>
  <c r="AH75" i="129"/>
  <c r="AH73" i="129"/>
  <c r="AH71" i="129"/>
  <c r="AH69" i="129"/>
  <c r="AD76" i="129"/>
  <c r="AD74" i="129"/>
  <c r="AD72" i="129"/>
  <c r="AD70" i="129"/>
  <c r="AD68" i="129"/>
  <c r="AD66" i="129"/>
  <c r="AD64" i="129"/>
  <c r="AD62" i="129"/>
  <c r="S77" i="129"/>
  <c r="S75" i="129"/>
  <c r="S73" i="129"/>
  <c r="S71" i="129"/>
  <c r="S69" i="129"/>
  <c r="S67" i="129"/>
  <c r="S65" i="129"/>
  <c r="S63" i="129"/>
  <c r="S61" i="129"/>
  <c r="S59" i="129"/>
  <c r="S76" i="129"/>
  <c r="S74" i="129"/>
  <c r="S72" i="129"/>
  <c r="S70" i="129"/>
  <c r="S68" i="129"/>
  <c r="S66" i="129"/>
  <c r="S64" i="129"/>
  <c r="S62" i="129"/>
  <c r="S60" i="129"/>
  <c r="S58" i="129"/>
  <c r="S56" i="129"/>
  <c r="S54" i="129"/>
  <c r="S52" i="129"/>
  <c r="S50" i="129"/>
  <c r="S48" i="129"/>
  <c r="S46" i="129"/>
  <c r="S44" i="129"/>
  <c r="S42" i="129"/>
  <c r="S40" i="129"/>
  <c r="S38" i="129"/>
  <c r="S36" i="129"/>
  <c r="S34" i="129"/>
  <c r="S32" i="129"/>
  <c r="S30" i="129"/>
  <c r="S28" i="129"/>
  <c r="S26" i="129"/>
  <c r="S24" i="129"/>
  <c r="S22" i="129"/>
  <c r="AG79" i="129"/>
  <c r="AD20" i="129"/>
  <c r="AH24" i="129"/>
  <c r="AH28" i="129"/>
  <c r="AH32" i="129"/>
  <c r="AH36" i="129"/>
  <c r="AH40" i="129"/>
  <c r="AH44" i="129"/>
  <c r="AH48" i="129"/>
  <c r="AH52" i="129"/>
  <c r="AH56" i="129"/>
  <c r="AH62" i="129"/>
  <c r="AH68" i="129"/>
  <c r="T75" i="129"/>
  <c r="T26" i="129"/>
  <c r="T30" i="129"/>
  <c r="T34" i="129"/>
  <c r="T38" i="129"/>
  <c r="T42" i="129"/>
  <c r="T46" i="129"/>
  <c r="T50" i="129"/>
  <c r="T54" i="129"/>
  <c r="AD56" i="129"/>
  <c r="AH57" i="129"/>
  <c r="AB57" i="129" s="1"/>
  <c r="T58" i="129"/>
  <c r="AH58" i="129"/>
  <c r="T59" i="129"/>
  <c r="AH59" i="129"/>
  <c r="T60" i="129"/>
  <c r="AH60" i="129"/>
  <c r="AH66" i="129"/>
  <c r="T71" i="129"/>
  <c r="T77" i="129"/>
  <c r="T67" i="129"/>
  <c r="T22" i="129"/>
  <c r="N79" i="129"/>
  <c r="I12" i="129" s="1"/>
  <c r="T20" i="129"/>
  <c r="Z20" i="129" s="1"/>
  <c r="Z25" i="129"/>
  <c r="Z29" i="129"/>
  <c r="Z33" i="129"/>
  <c r="AH34" i="129"/>
  <c r="Z37" i="129"/>
  <c r="AH38" i="129"/>
  <c r="Z41" i="129"/>
  <c r="AH42" i="129"/>
  <c r="Z45" i="129"/>
  <c r="AH46" i="129"/>
  <c r="Z49" i="129"/>
  <c r="AH50" i="129"/>
  <c r="Z53" i="129"/>
  <c r="AH54" i="129"/>
  <c r="Z57" i="129"/>
  <c r="AD61" i="129"/>
  <c r="T65" i="129"/>
  <c r="AH65" i="129"/>
  <c r="T66" i="129"/>
  <c r="AD67" i="129"/>
  <c r="AH70" i="129"/>
  <c r="AD71" i="129"/>
  <c r="AH76" i="129"/>
  <c r="AD77" i="129"/>
  <c r="AD59" i="129"/>
  <c r="AD60" i="129"/>
  <c r="AH64" i="129"/>
  <c r="T73" i="129"/>
  <c r="AF79" i="129"/>
  <c r="T23" i="129"/>
  <c r="Z23" i="129" s="1"/>
  <c r="AD26" i="129"/>
  <c r="T27" i="129"/>
  <c r="Z27" i="129" s="1"/>
  <c r="AH27" i="129"/>
  <c r="AB27" i="129" s="1"/>
  <c r="AD30" i="129"/>
  <c r="T31" i="129"/>
  <c r="Z31" i="129" s="1"/>
  <c r="AH31" i="129"/>
  <c r="AB31" i="129" s="1"/>
  <c r="AD34" i="129"/>
  <c r="T35" i="129"/>
  <c r="Z35" i="129" s="1"/>
  <c r="AH35" i="129"/>
  <c r="AB35" i="129" s="1"/>
  <c r="AD38" i="129"/>
  <c r="T39" i="129"/>
  <c r="Z39" i="129" s="1"/>
  <c r="AH39" i="129"/>
  <c r="AB39" i="129" s="1"/>
  <c r="AD42" i="129"/>
  <c r="T43" i="129"/>
  <c r="Z43" i="129" s="1"/>
  <c r="AH43" i="129"/>
  <c r="AB43" i="129" s="1"/>
  <c r="AD46" i="129"/>
  <c r="T47" i="129"/>
  <c r="Z47" i="129" s="1"/>
  <c r="AH47" i="129"/>
  <c r="AB47" i="129" s="1"/>
  <c r="AD50" i="129"/>
  <c r="T51" i="129"/>
  <c r="Z51" i="129" s="1"/>
  <c r="AH51" i="129"/>
  <c r="AB51" i="129" s="1"/>
  <c r="AD54" i="129"/>
  <c r="T55" i="129"/>
  <c r="Z55" i="129" s="1"/>
  <c r="AH55" i="129"/>
  <c r="AB55" i="129" s="1"/>
  <c r="T63" i="129"/>
  <c r="AH63" i="129"/>
  <c r="T64" i="129"/>
  <c r="AD65" i="129"/>
  <c r="T69" i="129"/>
  <c r="AH72" i="129"/>
  <c r="AD73" i="129"/>
  <c r="N79" i="128"/>
  <c r="AD19" i="128"/>
  <c r="AD21" i="128"/>
  <c r="AH28" i="128"/>
  <c r="AH46" i="128"/>
  <c r="AH52" i="128"/>
  <c r="AH58" i="128"/>
  <c r="AH64" i="128"/>
  <c r="T73" i="128"/>
  <c r="AE79" i="128"/>
  <c r="AH20" i="128"/>
  <c r="AD22" i="128"/>
  <c r="AD23" i="128"/>
  <c r="T27" i="128"/>
  <c r="AH27" i="128"/>
  <c r="T28" i="128"/>
  <c r="AD29" i="128"/>
  <c r="T33" i="128"/>
  <c r="AH33" i="128"/>
  <c r="T34" i="128"/>
  <c r="AD35" i="128"/>
  <c r="T39" i="128"/>
  <c r="AH39" i="128"/>
  <c r="T40" i="128"/>
  <c r="AD41" i="128"/>
  <c r="T45" i="128"/>
  <c r="AH45" i="128"/>
  <c r="T46" i="128"/>
  <c r="AD47" i="128"/>
  <c r="T51" i="128"/>
  <c r="AH51" i="128"/>
  <c r="T52" i="128"/>
  <c r="AD53" i="128"/>
  <c r="T57" i="128"/>
  <c r="AH57" i="128"/>
  <c r="T58" i="128"/>
  <c r="AD59" i="128"/>
  <c r="T63" i="128"/>
  <c r="AH63" i="128"/>
  <c r="T64" i="128"/>
  <c r="AD65" i="128"/>
  <c r="T69" i="128"/>
  <c r="AH72" i="128"/>
  <c r="AD73" i="128"/>
  <c r="AD20" i="128"/>
  <c r="AD27" i="128"/>
  <c r="T37" i="128"/>
  <c r="AD39" i="128"/>
  <c r="T75" i="128"/>
  <c r="AH77" i="128"/>
  <c r="AH75" i="128"/>
  <c r="AH73" i="128"/>
  <c r="AH71" i="128"/>
  <c r="AH69" i="128"/>
  <c r="AD76" i="128"/>
  <c r="AD74" i="128"/>
  <c r="AD72" i="128"/>
  <c r="AD70" i="128"/>
  <c r="AD68" i="128"/>
  <c r="AD66" i="128"/>
  <c r="AD64" i="128"/>
  <c r="AD62" i="128"/>
  <c r="AD60" i="128"/>
  <c r="AD58" i="128"/>
  <c r="AD56" i="128"/>
  <c r="AD54" i="128"/>
  <c r="AD52" i="128"/>
  <c r="AD50" i="128"/>
  <c r="AD48" i="128"/>
  <c r="AD46" i="128"/>
  <c r="AD44" i="128"/>
  <c r="AD42" i="128"/>
  <c r="AD40" i="128"/>
  <c r="AD38" i="128"/>
  <c r="AD36" i="128"/>
  <c r="AD34" i="128"/>
  <c r="AD32" i="128"/>
  <c r="AD30" i="128"/>
  <c r="AD28" i="128"/>
  <c r="AD26" i="128"/>
  <c r="AD24" i="128"/>
  <c r="S77" i="128"/>
  <c r="S75" i="128"/>
  <c r="S73" i="128"/>
  <c r="S71" i="128"/>
  <c r="S69" i="128"/>
  <c r="S67" i="128"/>
  <c r="S65" i="128"/>
  <c r="S63" i="128"/>
  <c r="S61" i="128"/>
  <c r="S59" i="128"/>
  <c r="S57" i="128"/>
  <c r="S55" i="128"/>
  <c r="S53" i="128"/>
  <c r="S51" i="128"/>
  <c r="S49" i="128"/>
  <c r="S47" i="128"/>
  <c r="S45" i="128"/>
  <c r="S43" i="128"/>
  <c r="S41" i="128"/>
  <c r="S39" i="128"/>
  <c r="S37" i="128"/>
  <c r="S35" i="128"/>
  <c r="S33" i="128"/>
  <c r="S31" i="128"/>
  <c r="S29" i="128"/>
  <c r="S27" i="128"/>
  <c r="S25" i="128"/>
  <c r="S23" i="128"/>
  <c r="S76" i="128"/>
  <c r="S74" i="128"/>
  <c r="S72" i="128"/>
  <c r="S70" i="128"/>
  <c r="S68" i="128"/>
  <c r="S66" i="128"/>
  <c r="S64" i="128"/>
  <c r="S62" i="128"/>
  <c r="S60" i="128"/>
  <c r="S58" i="128"/>
  <c r="S56" i="128"/>
  <c r="S54" i="128"/>
  <c r="S52" i="128"/>
  <c r="S50" i="128"/>
  <c r="S48" i="128"/>
  <c r="S46" i="128"/>
  <c r="S44" i="128"/>
  <c r="S42" i="128"/>
  <c r="S40" i="128"/>
  <c r="S38" i="128"/>
  <c r="S36" i="128"/>
  <c r="S34" i="128"/>
  <c r="S32" i="128"/>
  <c r="S30" i="128"/>
  <c r="S28" i="128"/>
  <c r="S26" i="128"/>
  <c r="S24" i="128"/>
  <c r="S22" i="128"/>
  <c r="T25" i="128"/>
  <c r="T26" i="128"/>
  <c r="T31" i="128"/>
  <c r="T32" i="128"/>
  <c r="AD33" i="128"/>
  <c r="T38" i="128"/>
  <c r="AH43" i="128"/>
  <c r="T49" i="128"/>
  <c r="T50" i="128"/>
  <c r="T55" i="128"/>
  <c r="AH55" i="128"/>
  <c r="T56" i="128"/>
  <c r="T61" i="128"/>
  <c r="AH61" i="128"/>
  <c r="T62" i="128"/>
  <c r="AD63" i="128"/>
  <c r="T67" i="128"/>
  <c r="AH67" i="128"/>
  <c r="T68" i="128"/>
  <c r="AD69" i="128"/>
  <c r="AH74" i="128"/>
  <c r="AD75" i="128"/>
  <c r="L79" i="128"/>
  <c r="Z19" i="128"/>
  <c r="AH19" i="128"/>
  <c r="AB19" i="128" s="1"/>
  <c r="Z21" i="128"/>
  <c r="AH21" i="128"/>
  <c r="AB21" i="128" s="1"/>
  <c r="AH24" i="128"/>
  <c r="AH30" i="128"/>
  <c r="AH36" i="128"/>
  <c r="AH42" i="128"/>
  <c r="AH48" i="128"/>
  <c r="AH54" i="128"/>
  <c r="AH60" i="128"/>
  <c r="AH66" i="128"/>
  <c r="T71" i="128"/>
  <c r="T77" i="128"/>
  <c r="AG79" i="128"/>
  <c r="AH25" i="128"/>
  <c r="AH31" i="128"/>
  <c r="AH37" i="128"/>
  <c r="T43" i="128"/>
  <c r="T44" i="128"/>
  <c r="AH49" i="128"/>
  <c r="AD51" i="128"/>
  <c r="AD57" i="128"/>
  <c r="M79" i="128"/>
  <c r="S20" i="128"/>
  <c r="AH22" i="128"/>
  <c r="AH23" i="128"/>
  <c r="AD25" i="128"/>
  <c r="T29" i="128"/>
  <c r="AH29" i="128"/>
  <c r="AD31" i="128"/>
  <c r="T35" i="128"/>
  <c r="AH35" i="128"/>
  <c r="AD37" i="128"/>
  <c r="T41" i="128"/>
  <c r="AH41" i="128"/>
  <c r="AD43" i="128"/>
  <c r="T47" i="128"/>
  <c r="AH47" i="128"/>
  <c r="AD49" i="128"/>
  <c r="T53" i="128"/>
  <c r="AH53" i="128"/>
  <c r="AD55" i="128"/>
  <c r="T59" i="128"/>
  <c r="AH59" i="128"/>
  <c r="AD61" i="128"/>
  <c r="T65" i="128"/>
  <c r="AH65" i="128"/>
  <c r="AD67" i="128"/>
  <c r="AH70" i="128"/>
  <c r="AD71" i="128"/>
  <c r="AH76" i="128"/>
  <c r="AD77" i="128"/>
  <c r="AH34" i="128"/>
  <c r="AH40" i="128"/>
  <c r="I13" i="128" l="1"/>
  <c r="I13" i="130"/>
  <c r="I13" i="129"/>
  <c r="I12" i="130"/>
  <c r="I12" i="128"/>
  <c r="AB24" i="130"/>
  <c r="Z24" i="130"/>
  <c r="AB60" i="130"/>
  <c r="Z60" i="130"/>
  <c r="AB29" i="130"/>
  <c r="Z29" i="130"/>
  <c r="AB65" i="130"/>
  <c r="Z65" i="130"/>
  <c r="AB26" i="130"/>
  <c r="Z26" i="130"/>
  <c r="AB38" i="130"/>
  <c r="Z38" i="130"/>
  <c r="AB50" i="130"/>
  <c r="Z50" i="130"/>
  <c r="AB62" i="130"/>
  <c r="Z62" i="130"/>
  <c r="AB74" i="130"/>
  <c r="Z74" i="130"/>
  <c r="AB31" i="130"/>
  <c r="Z31" i="130"/>
  <c r="AB43" i="130"/>
  <c r="Z43" i="130"/>
  <c r="AB55" i="130"/>
  <c r="Z55" i="130"/>
  <c r="AB67" i="130"/>
  <c r="Z67" i="130"/>
  <c r="AB21" i="130"/>
  <c r="Z21" i="130"/>
  <c r="AB28" i="130"/>
  <c r="Z28" i="130"/>
  <c r="AB40" i="130"/>
  <c r="Z40" i="130"/>
  <c r="AB52" i="130"/>
  <c r="Z52" i="130"/>
  <c r="AB64" i="130"/>
  <c r="Z64" i="130"/>
  <c r="AB76" i="130"/>
  <c r="Z76" i="130"/>
  <c r="AB33" i="130"/>
  <c r="Z33" i="130"/>
  <c r="AB45" i="130"/>
  <c r="Z45" i="130"/>
  <c r="AB57" i="130"/>
  <c r="Z57" i="130"/>
  <c r="AB69" i="130"/>
  <c r="Z69" i="130"/>
  <c r="AB48" i="130"/>
  <c r="Z48" i="130"/>
  <c r="AB72" i="130"/>
  <c r="Z72" i="130"/>
  <c r="AB41" i="130"/>
  <c r="Z41" i="130"/>
  <c r="Z77" i="130"/>
  <c r="AB77" i="130"/>
  <c r="AB30" i="130"/>
  <c r="Z30" i="130"/>
  <c r="AB23" i="130"/>
  <c r="Z23" i="130"/>
  <c r="AB32" i="130"/>
  <c r="Z32" i="130"/>
  <c r="AB44" i="130"/>
  <c r="Z44" i="130"/>
  <c r="AB56" i="130"/>
  <c r="Z56" i="130"/>
  <c r="AB68" i="130"/>
  <c r="Z68" i="130"/>
  <c r="AB25" i="130"/>
  <c r="Z25" i="130"/>
  <c r="AB37" i="130"/>
  <c r="Z37" i="130"/>
  <c r="AB49" i="130"/>
  <c r="Z49" i="130"/>
  <c r="AB61" i="130"/>
  <c r="Z61" i="130"/>
  <c r="AB73" i="130"/>
  <c r="Z73" i="130"/>
  <c r="AC79" i="130"/>
  <c r="G10" i="130" s="1"/>
  <c r="AB36" i="130"/>
  <c r="Z36" i="130"/>
  <c r="AB53" i="130"/>
  <c r="Z53" i="130"/>
  <c r="AB42" i="130"/>
  <c r="Z42" i="130"/>
  <c r="AB54" i="130"/>
  <c r="Z54" i="130"/>
  <c r="AB66" i="130"/>
  <c r="Z66" i="130"/>
  <c r="AB35" i="130"/>
  <c r="Z35" i="130"/>
  <c r="AB47" i="130"/>
  <c r="Z47" i="130"/>
  <c r="AB59" i="130"/>
  <c r="Z59" i="130"/>
  <c r="AB71" i="130"/>
  <c r="Z71" i="130"/>
  <c r="AB19" i="130"/>
  <c r="Z19" i="130"/>
  <c r="AB20" i="130"/>
  <c r="Z20" i="130"/>
  <c r="Z22" i="130"/>
  <c r="AB22" i="130"/>
  <c r="AB34" i="130"/>
  <c r="Z34" i="130"/>
  <c r="AB46" i="130"/>
  <c r="Z46" i="130"/>
  <c r="AB58" i="130"/>
  <c r="Z58" i="130"/>
  <c r="AB70" i="130"/>
  <c r="Z70" i="130"/>
  <c r="AB27" i="130"/>
  <c r="Z27" i="130"/>
  <c r="AB39" i="130"/>
  <c r="Z39" i="130"/>
  <c r="AB51" i="130"/>
  <c r="Z51" i="130"/>
  <c r="AB63" i="130"/>
  <c r="Z63" i="130"/>
  <c r="Z75" i="130"/>
  <c r="AB75" i="130"/>
  <c r="AB24" i="129"/>
  <c r="Z24" i="129"/>
  <c r="AB36" i="129"/>
  <c r="Z36" i="129"/>
  <c r="AB48" i="129"/>
  <c r="Z48" i="129"/>
  <c r="AB60" i="129"/>
  <c r="Z60" i="129"/>
  <c r="AB72" i="129"/>
  <c r="Z72" i="129"/>
  <c r="AB65" i="129"/>
  <c r="Z65" i="129"/>
  <c r="Z77" i="129"/>
  <c r="AB77" i="129"/>
  <c r="AB38" i="129"/>
  <c r="Z38" i="129"/>
  <c r="AB50" i="129"/>
  <c r="Z50" i="129"/>
  <c r="AB74" i="129"/>
  <c r="Z74" i="129"/>
  <c r="AB67" i="129"/>
  <c r="Z67" i="129"/>
  <c r="Z28" i="129"/>
  <c r="AB28" i="129"/>
  <c r="Z40" i="129"/>
  <c r="AB40" i="129"/>
  <c r="AB52" i="129"/>
  <c r="Z52" i="129"/>
  <c r="AB64" i="129"/>
  <c r="Z64" i="129"/>
  <c r="AB76" i="129"/>
  <c r="Z76" i="129"/>
  <c r="AB69" i="129"/>
  <c r="Z69" i="129"/>
  <c r="AC79" i="129"/>
  <c r="G10" i="129" s="1"/>
  <c r="AB30" i="129"/>
  <c r="Z30" i="129"/>
  <c r="AB42" i="129"/>
  <c r="Z42" i="129"/>
  <c r="AB54" i="129"/>
  <c r="Z54" i="129"/>
  <c r="AB66" i="129"/>
  <c r="Z66" i="129"/>
  <c r="AB59" i="129"/>
  <c r="Z59" i="129"/>
  <c r="Z71" i="129"/>
  <c r="AB71" i="129"/>
  <c r="AB32" i="129"/>
  <c r="Z32" i="129"/>
  <c r="AB44" i="129"/>
  <c r="Z44" i="129"/>
  <c r="AB56" i="129"/>
  <c r="Z56" i="129"/>
  <c r="AB68" i="129"/>
  <c r="Z68" i="129"/>
  <c r="AB61" i="129"/>
  <c r="Z61" i="129"/>
  <c r="Z73" i="129"/>
  <c r="AB73" i="129"/>
  <c r="Z22" i="129"/>
  <c r="AB22" i="129"/>
  <c r="AB34" i="129"/>
  <c r="Z34" i="129"/>
  <c r="AB46" i="129"/>
  <c r="Z46" i="129"/>
  <c r="AB58" i="129"/>
  <c r="Z58" i="129"/>
  <c r="AB70" i="129"/>
  <c r="Z70" i="129"/>
  <c r="AB63" i="129"/>
  <c r="Z63" i="129"/>
  <c r="Z75" i="129"/>
  <c r="AB75" i="129"/>
  <c r="AB26" i="129"/>
  <c r="Z26" i="129"/>
  <c r="AB62" i="129"/>
  <c r="Z62" i="129"/>
  <c r="AB60" i="128"/>
  <c r="Z60" i="128"/>
  <c r="AB32" i="128"/>
  <c r="Z32" i="128"/>
  <c r="AB44" i="128"/>
  <c r="Z44" i="128"/>
  <c r="AB56" i="128"/>
  <c r="Z56" i="128"/>
  <c r="AB68" i="128"/>
  <c r="Z68" i="128"/>
  <c r="AB25" i="128"/>
  <c r="Z25" i="128"/>
  <c r="AB37" i="128"/>
  <c r="Z37" i="128"/>
  <c r="AB49" i="128"/>
  <c r="Z49" i="128"/>
  <c r="AB61" i="128"/>
  <c r="Z61" i="128"/>
  <c r="Z73" i="128"/>
  <c r="AB73" i="128"/>
  <c r="AC79" i="128"/>
  <c r="G10" i="128" s="1"/>
  <c r="AB22" i="128"/>
  <c r="Z22" i="128"/>
  <c r="AB34" i="128"/>
  <c r="Z34" i="128"/>
  <c r="AB46" i="128"/>
  <c r="Z46" i="128"/>
  <c r="AB58" i="128"/>
  <c r="Z58" i="128"/>
  <c r="AB70" i="128"/>
  <c r="Z70" i="128"/>
  <c r="AB27" i="128"/>
  <c r="Z27" i="128"/>
  <c r="AB39" i="128"/>
  <c r="Z39" i="128"/>
  <c r="AB51" i="128"/>
  <c r="Z51" i="128"/>
  <c r="AB63" i="128"/>
  <c r="Z63" i="128"/>
  <c r="Z75" i="128"/>
  <c r="AB75" i="128"/>
  <c r="AB36" i="128"/>
  <c r="Z36" i="128"/>
  <c r="AB72" i="128"/>
  <c r="Z72" i="128"/>
  <c r="AB41" i="128"/>
  <c r="Z41" i="128"/>
  <c r="AB65" i="128"/>
  <c r="Z65" i="128"/>
  <c r="AB26" i="128"/>
  <c r="Z26" i="128"/>
  <c r="AB62" i="128"/>
  <c r="Z62" i="128"/>
  <c r="AB31" i="128"/>
  <c r="Z31" i="128"/>
  <c r="AB55" i="128"/>
  <c r="Z55" i="128"/>
  <c r="AB20" i="128"/>
  <c r="Z20" i="128"/>
  <c r="AB28" i="128"/>
  <c r="Z28" i="128"/>
  <c r="AB40" i="128"/>
  <c r="Z40" i="128"/>
  <c r="AB52" i="128"/>
  <c r="Z52" i="128"/>
  <c r="AB64" i="128"/>
  <c r="Z64" i="128"/>
  <c r="AB76" i="128"/>
  <c r="Z76" i="128"/>
  <c r="AB33" i="128"/>
  <c r="Z33" i="128"/>
  <c r="AB45" i="128"/>
  <c r="Z45" i="128"/>
  <c r="AB57" i="128"/>
  <c r="Z57" i="128"/>
  <c r="AB69" i="128"/>
  <c r="Z69" i="128"/>
  <c r="AB24" i="128"/>
  <c r="Z24" i="128"/>
  <c r="AB48" i="128"/>
  <c r="Z48" i="128"/>
  <c r="AB29" i="128"/>
  <c r="Z29" i="128"/>
  <c r="AB53" i="128"/>
  <c r="Z53" i="128"/>
  <c r="Z77" i="128"/>
  <c r="AB77" i="128"/>
  <c r="AB38" i="128"/>
  <c r="Z38" i="128"/>
  <c r="AB50" i="128"/>
  <c r="Z50" i="128"/>
  <c r="AB74" i="128"/>
  <c r="Z74" i="128"/>
  <c r="AB43" i="128"/>
  <c r="Z43" i="128"/>
  <c r="AB67" i="128"/>
  <c r="Z67" i="128"/>
  <c r="AB30" i="128"/>
  <c r="Z30" i="128"/>
  <c r="AB42" i="128"/>
  <c r="Z42" i="128"/>
  <c r="AB54" i="128"/>
  <c r="Z54" i="128"/>
  <c r="AB66" i="128"/>
  <c r="Z66" i="128"/>
  <c r="AB23" i="128"/>
  <c r="Z23" i="128"/>
  <c r="AB35" i="128"/>
  <c r="Z35" i="128"/>
  <c r="AB47" i="128"/>
  <c r="Z47" i="128"/>
  <c r="AB59" i="128"/>
  <c r="Z59" i="128"/>
  <c r="Z71" i="128"/>
  <c r="AB71" i="128"/>
  <c r="I10" i="130" l="1"/>
  <c r="I9" i="130" s="1"/>
  <c r="I8" i="130" s="1"/>
  <c r="I10" i="129"/>
  <c r="I9" i="129" s="1"/>
  <c r="I8" i="129" s="1"/>
  <c r="I10" i="128"/>
  <c r="I9" i="128" s="1"/>
  <c r="I8" i="128" s="1"/>
  <c r="F4" i="119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G54" i="117"/>
  <c r="AF54" i="117"/>
  <c r="AE54" i="117"/>
  <c r="Q54" i="117"/>
  <c r="AI54" i="117" s="1"/>
  <c r="N54" i="117"/>
  <c r="M54" i="117"/>
  <c r="L54" i="117"/>
  <c r="J54" i="117"/>
  <c r="AG53" i="117"/>
  <c r="AF53" i="117"/>
  <c r="AE53" i="117"/>
  <c r="Q53" i="117"/>
  <c r="AI53" i="117" s="1"/>
  <c r="N53" i="117"/>
  <c r="M53" i="117"/>
  <c r="L53" i="117"/>
  <c r="J53" i="117"/>
  <c r="AG52" i="117"/>
  <c r="AF52" i="117"/>
  <c r="AE52" i="117"/>
  <c r="Q52" i="117"/>
  <c r="N52" i="117"/>
  <c r="M52" i="117"/>
  <c r="L52" i="117"/>
  <c r="J52" i="117"/>
  <c r="AG73" i="117"/>
  <c r="AF73" i="117"/>
  <c r="AE73" i="117"/>
  <c r="AG72" i="117"/>
  <c r="AF72" i="117"/>
  <c r="AE72" i="117"/>
  <c r="AG71" i="117"/>
  <c r="AF71" i="117"/>
  <c r="AE71" i="117"/>
  <c r="AG70" i="117"/>
  <c r="AF70" i="117"/>
  <c r="AE70" i="117"/>
  <c r="AG69" i="117"/>
  <c r="AF69" i="117"/>
  <c r="AE69" i="117"/>
  <c r="AG68" i="117"/>
  <c r="AF68" i="117"/>
  <c r="AE68" i="117"/>
  <c r="AG67" i="117"/>
  <c r="AF67" i="117"/>
  <c r="AE67" i="117"/>
  <c r="AG66" i="117"/>
  <c r="AF66" i="117"/>
  <c r="AE66" i="117"/>
  <c r="AG65" i="117"/>
  <c r="AF65" i="117"/>
  <c r="AE65" i="117"/>
  <c r="AG64" i="117"/>
  <c r="AF64" i="117"/>
  <c r="AE64" i="117"/>
  <c r="AG63" i="117"/>
  <c r="AF63" i="117"/>
  <c r="AE63" i="117"/>
  <c r="AG62" i="117"/>
  <c r="AF62" i="117"/>
  <c r="AE62" i="117"/>
  <c r="AG61" i="117"/>
  <c r="AF61" i="117"/>
  <c r="AE61" i="117"/>
  <c r="AG60" i="117"/>
  <c r="AF60" i="117"/>
  <c r="AE60" i="117"/>
  <c r="AG59" i="117"/>
  <c r="AF59" i="117"/>
  <c r="AE59" i="117"/>
  <c r="AG58" i="117"/>
  <c r="AF58" i="117"/>
  <c r="AE58" i="117"/>
  <c r="AG57" i="117"/>
  <c r="AF57" i="117"/>
  <c r="AE57" i="117"/>
  <c r="AG56" i="117"/>
  <c r="AF56" i="117"/>
  <c r="AE56" i="117"/>
  <c r="AG55" i="117"/>
  <c r="AF55" i="117"/>
  <c r="AE55" i="117"/>
  <c r="T52" i="117" l="1"/>
  <c r="AI52" i="117"/>
  <c r="I7" i="129"/>
  <c r="E6" i="119" s="1"/>
  <c r="N6" i="119" s="1"/>
  <c r="I7" i="128"/>
  <c r="E5" i="119" s="1"/>
  <c r="N5" i="119" s="1"/>
  <c r="I7" i="130"/>
  <c r="E7" i="119" s="1"/>
  <c r="N7" i="119" s="1"/>
  <c r="T53" i="117"/>
  <c r="T54" i="117"/>
  <c r="I79" i="117" l="1"/>
  <c r="C4" i="119" l="1"/>
  <c r="I4" i="119"/>
  <c r="H4" i="119"/>
  <c r="D4" i="119"/>
  <c r="E1" i="130" l="1"/>
  <c r="E1" i="129"/>
  <c r="E1" i="128"/>
  <c r="E1" i="117"/>
  <c r="F78" i="117"/>
  <c r="AG50" i="117" l="1"/>
  <c r="I11" i="117" l="1"/>
  <c r="AF50" i="117" l="1"/>
  <c r="AF51" i="117"/>
  <c r="M48" i="117"/>
  <c r="M49" i="117"/>
  <c r="M50" i="117"/>
  <c r="M51" i="117"/>
  <c r="M55" i="117"/>
  <c r="M56" i="117"/>
  <c r="J21" i="117"/>
  <c r="L21" i="117"/>
  <c r="M21" i="117"/>
  <c r="N21" i="117"/>
  <c r="Q21" i="117"/>
  <c r="AI21" i="117" s="1"/>
  <c r="AE21" i="117"/>
  <c r="AF21" i="117"/>
  <c r="AG21" i="117"/>
  <c r="J22" i="117"/>
  <c r="L22" i="117"/>
  <c r="M22" i="117"/>
  <c r="N22" i="117"/>
  <c r="Q22" i="117"/>
  <c r="AI22" i="117" s="1"/>
  <c r="AE22" i="117"/>
  <c r="AF22" i="117"/>
  <c r="AG22" i="117"/>
  <c r="J23" i="117"/>
  <c r="L23" i="117"/>
  <c r="M23" i="117"/>
  <c r="N23" i="117"/>
  <c r="Q23" i="117"/>
  <c r="AI23" i="117" s="1"/>
  <c r="AE23" i="117"/>
  <c r="AF23" i="117"/>
  <c r="AG23" i="117"/>
  <c r="J24" i="117"/>
  <c r="L24" i="117"/>
  <c r="M24" i="117"/>
  <c r="N24" i="117"/>
  <c r="Q24" i="117"/>
  <c r="AI24" i="117" s="1"/>
  <c r="AE24" i="117"/>
  <c r="AF24" i="117"/>
  <c r="AG24" i="117"/>
  <c r="J25" i="117"/>
  <c r="L25" i="117"/>
  <c r="M25" i="117"/>
  <c r="N25" i="117"/>
  <c r="Q25" i="117"/>
  <c r="AI25" i="117" s="1"/>
  <c r="AE25" i="117"/>
  <c r="AF25" i="117"/>
  <c r="AG25" i="117"/>
  <c r="J26" i="117"/>
  <c r="L26" i="117"/>
  <c r="M26" i="117"/>
  <c r="N26" i="117"/>
  <c r="Q26" i="117"/>
  <c r="AI26" i="117" s="1"/>
  <c r="AE26" i="117"/>
  <c r="AF26" i="117"/>
  <c r="AG26" i="117"/>
  <c r="J27" i="117"/>
  <c r="L27" i="117"/>
  <c r="M27" i="117"/>
  <c r="N27" i="117"/>
  <c r="Q27" i="117"/>
  <c r="AI27" i="117" s="1"/>
  <c r="AE27" i="117"/>
  <c r="AF27" i="117"/>
  <c r="AG27" i="117"/>
  <c r="J28" i="117"/>
  <c r="L28" i="117"/>
  <c r="M28" i="117"/>
  <c r="N28" i="117"/>
  <c r="Q28" i="117"/>
  <c r="AI28" i="117" s="1"/>
  <c r="AE28" i="117"/>
  <c r="AF28" i="117"/>
  <c r="AG28" i="117"/>
  <c r="J29" i="117"/>
  <c r="L29" i="117"/>
  <c r="M29" i="117"/>
  <c r="N29" i="117"/>
  <c r="Q29" i="117"/>
  <c r="AI29" i="117" s="1"/>
  <c r="AE29" i="117"/>
  <c r="AF29" i="117"/>
  <c r="AG29" i="117"/>
  <c r="J30" i="117"/>
  <c r="L30" i="117"/>
  <c r="M30" i="117"/>
  <c r="N30" i="117"/>
  <c r="Q30" i="117"/>
  <c r="AI30" i="117" s="1"/>
  <c r="AE30" i="117"/>
  <c r="AF30" i="117"/>
  <c r="AG30" i="117"/>
  <c r="J31" i="117"/>
  <c r="L31" i="117"/>
  <c r="M31" i="117"/>
  <c r="N31" i="117"/>
  <c r="Q31" i="117"/>
  <c r="AI31" i="117" s="1"/>
  <c r="AE31" i="117"/>
  <c r="AF31" i="117"/>
  <c r="AG31" i="117"/>
  <c r="J32" i="117"/>
  <c r="L32" i="117"/>
  <c r="M32" i="117"/>
  <c r="N32" i="117"/>
  <c r="Q32" i="117"/>
  <c r="AI32" i="117" s="1"/>
  <c r="AE32" i="117"/>
  <c r="AF32" i="117"/>
  <c r="AG32" i="117"/>
  <c r="J33" i="117"/>
  <c r="L33" i="117"/>
  <c r="M33" i="117"/>
  <c r="N33" i="117"/>
  <c r="Q33" i="117"/>
  <c r="AI33" i="117" s="1"/>
  <c r="AE33" i="117"/>
  <c r="AF33" i="117"/>
  <c r="AG33" i="117"/>
  <c r="J34" i="117"/>
  <c r="L34" i="117"/>
  <c r="M34" i="117"/>
  <c r="N34" i="117"/>
  <c r="Q34" i="117"/>
  <c r="AI34" i="117" s="1"/>
  <c r="AE34" i="117"/>
  <c r="AF34" i="117"/>
  <c r="AG34" i="117"/>
  <c r="J35" i="117"/>
  <c r="L35" i="117"/>
  <c r="M35" i="117"/>
  <c r="N35" i="117"/>
  <c r="Q35" i="117"/>
  <c r="AI35" i="117" s="1"/>
  <c r="AE35" i="117"/>
  <c r="AF35" i="117"/>
  <c r="AG35" i="117"/>
  <c r="J36" i="117"/>
  <c r="L36" i="117"/>
  <c r="M36" i="117"/>
  <c r="N36" i="117"/>
  <c r="Q36" i="117"/>
  <c r="AI36" i="117" s="1"/>
  <c r="AE36" i="117"/>
  <c r="AF36" i="117"/>
  <c r="AG36" i="117"/>
  <c r="J37" i="117"/>
  <c r="L37" i="117"/>
  <c r="M37" i="117"/>
  <c r="N37" i="117"/>
  <c r="Q37" i="117"/>
  <c r="AI37" i="117" s="1"/>
  <c r="AE37" i="117"/>
  <c r="AF37" i="117"/>
  <c r="AG37" i="117"/>
  <c r="J38" i="117"/>
  <c r="L38" i="117"/>
  <c r="M38" i="117"/>
  <c r="N38" i="117"/>
  <c r="Q38" i="117"/>
  <c r="AI38" i="117" s="1"/>
  <c r="AE38" i="117"/>
  <c r="AF38" i="117"/>
  <c r="AG38" i="117"/>
  <c r="J39" i="117"/>
  <c r="L39" i="117"/>
  <c r="M39" i="117"/>
  <c r="N39" i="117"/>
  <c r="Q39" i="117"/>
  <c r="AI39" i="117" s="1"/>
  <c r="AE39" i="117"/>
  <c r="AF39" i="117"/>
  <c r="AG39" i="117"/>
  <c r="J40" i="117"/>
  <c r="L40" i="117"/>
  <c r="M40" i="117"/>
  <c r="N40" i="117"/>
  <c r="Q40" i="117"/>
  <c r="AI40" i="117" s="1"/>
  <c r="AE40" i="117"/>
  <c r="AF40" i="117"/>
  <c r="AG40" i="117"/>
  <c r="J41" i="117"/>
  <c r="L41" i="117"/>
  <c r="M41" i="117"/>
  <c r="N41" i="117"/>
  <c r="Q41" i="117"/>
  <c r="AI41" i="117" s="1"/>
  <c r="AE41" i="117"/>
  <c r="AF41" i="117"/>
  <c r="AG41" i="117"/>
  <c r="J42" i="117"/>
  <c r="L42" i="117"/>
  <c r="M42" i="117"/>
  <c r="N42" i="117"/>
  <c r="Q42" i="117"/>
  <c r="AI42" i="117" s="1"/>
  <c r="AE42" i="117"/>
  <c r="AF42" i="117"/>
  <c r="AG42" i="117"/>
  <c r="J43" i="117"/>
  <c r="L43" i="117"/>
  <c r="M43" i="117"/>
  <c r="N43" i="117"/>
  <c r="Q43" i="117"/>
  <c r="AI43" i="117" s="1"/>
  <c r="AE43" i="117"/>
  <c r="AF43" i="117"/>
  <c r="AG43" i="117"/>
  <c r="J44" i="117"/>
  <c r="L44" i="117"/>
  <c r="M44" i="117"/>
  <c r="N44" i="117"/>
  <c r="Q44" i="117"/>
  <c r="AI44" i="117" s="1"/>
  <c r="AE44" i="117"/>
  <c r="AF44" i="117"/>
  <c r="AG44" i="117"/>
  <c r="J45" i="117"/>
  <c r="L45" i="117"/>
  <c r="M45" i="117"/>
  <c r="N45" i="117"/>
  <c r="Q45" i="117"/>
  <c r="AI45" i="117" s="1"/>
  <c r="AE45" i="117"/>
  <c r="AF45" i="117"/>
  <c r="AG45" i="117"/>
  <c r="J46" i="117"/>
  <c r="L46" i="117"/>
  <c r="M46" i="117"/>
  <c r="N46" i="117"/>
  <c r="Q46" i="117"/>
  <c r="AI46" i="117" s="1"/>
  <c r="AE46" i="117"/>
  <c r="AF46" i="117"/>
  <c r="AG46" i="117"/>
  <c r="J47" i="117"/>
  <c r="L47" i="117"/>
  <c r="M47" i="117"/>
  <c r="N47" i="117"/>
  <c r="Q47" i="117"/>
  <c r="AI47" i="117" s="1"/>
  <c r="AE47" i="117"/>
  <c r="AF47" i="117"/>
  <c r="AG47" i="117"/>
  <c r="J48" i="117"/>
  <c r="L48" i="117"/>
  <c r="N48" i="117"/>
  <c r="Q48" i="117"/>
  <c r="AI48" i="117" s="1"/>
  <c r="AE48" i="117"/>
  <c r="AF48" i="117"/>
  <c r="AG48" i="117"/>
  <c r="J49" i="117"/>
  <c r="L49" i="117"/>
  <c r="N49" i="117"/>
  <c r="Q49" i="117"/>
  <c r="AI49" i="117" s="1"/>
  <c r="AE49" i="117"/>
  <c r="AF49" i="117"/>
  <c r="AG49" i="117"/>
  <c r="J50" i="117"/>
  <c r="L50" i="117"/>
  <c r="N50" i="117"/>
  <c r="Q50" i="117"/>
  <c r="AI50" i="117" s="1"/>
  <c r="AE50" i="117"/>
  <c r="J51" i="117"/>
  <c r="L51" i="117"/>
  <c r="N51" i="117"/>
  <c r="Q51" i="117"/>
  <c r="AI51" i="117" s="1"/>
  <c r="AE51" i="117"/>
  <c r="AG51" i="117"/>
  <c r="J55" i="117"/>
  <c r="L55" i="117"/>
  <c r="N55" i="117"/>
  <c r="Q55" i="117"/>
  <c r="AI55" i="117" s="1"/>
  <c r="J56" i="117"/>
  <c r="L56" i="117"/>
  <c r="N56" i="117"/>
  <c r="Q56" i="117"/>
  <c r="AI56" i="117" s="1"/>
  <c r="J57" i="117"/>
  <c r="L57" i="117"/>
  <c r="M57" i="117"/>
  <c r="N57" i="117"/>
  <c r="Q57" i="117"/>
  <c r="AI57" i="117" s="1"/>
  <c r="J58" i="117"/>
  <c r="L58" i="117"/>
  <c r="M58" i="117"/>
  <c r="N58" i="117"/>
  <c r="Q58" i="117"/>
  <c r="AI58" i="117" s="1"/>
  <c r="J59" i="117"/>
  <c r="L59" i="117"/>
  <c r="M59" i="117"/>
  <c r="N59" i="117"/>
  <c r="Q59" i="117"/>
  <c r="AI59" i="117" s="1"/>
  <c r="J60" i="117"/>
  <c r="L60" i="117"/>
  <c r="M60" i="117"/>
  <c r="N60" i="117"/>
  <c r="Q60" i="117"/>
  <c r="AI60" i="117" s="1"/>
  <c r="J61" i="117"/>
  <c r="L61" i="117"/>
  <c r="M61" i="117"/>
  <c r="N61" i="117"/>
  <c r="Q61" i="117"/>
  <c r="AI61" i="117" s="1"/>
  <c r="J62" i="117"/>
  <c r="L62" i="117"/>
  <c r="M62" i="117"/>
  <c r="N62" i="117"/>
  <c r="Q62" i="117"/>
  <c r="AI62" i="117" s="1"/>
  <c r="J63" i="117"/>
  <c r="L63" i="117"/>
  <c r="M63" i="117"/>
  <c r="N63" i="117"/>
  <c r="Q63" i="117"/>
  <c r="AI63" i="117" s="1"/>
  <c r="J64" i="117"/>
  <c r="L64" i="117"/>
  <c r="M64" i="117"/>
  <c r="N64" i="117"/>
  <c r="Q64" i="117"/>
  <c r="AI64" i="117" s="1"/>
  <c r="J65" i="117"/>
  <c r="L65" i="117"/>
  <c r="M65" i="117"/>
  <c r="N65" i="117"/>
  <c r="Q65" i="117"/>
  <c r="AI65" i="117" s="1"/>
  <c r="J66" i="117"/>
  <c r="L66" i="117"/>
  <c r="M66" i="117"/>
  <c r="N66" i="117"/>
  <c r="Q66" i="117"/>
  <c r="AI66" i="117" s="1"/>
  <c r="J67" i="117"/>
  <c r="L67" i="117"/>
  <c r="M67" i="117"/>
  <c r="N67" i="117"/>
  <c r="Q67" i="117"/>
  <c r="AI67" i="117" s="1"/>
  <c r="J68" i="117"/>
  <c r="L68" i="117"/>
  <c r="M68" i="117"/>
  <c r="N68" i="117"/>
  <c r="Q68" i="117"/>
  <c r="AI68" i="117" s="1"/>
  <c r="J69" i="117"/>
  <c r="L69" i="117"/>
  <c r="M69" i="117"/>
  <c r="N69" i="117"/>
  <c r="Q69" i="117"/>
  <c r="AI69" i="117" s="1"/>
  <c r="J70" i="117"/>
  <c r="L70" i="117"/>
  <c r="M70" i="117"/>
  <c r="N70" i="117"/>
  <c r="Q70" i="117"/>
  <c r="AI70" i="117" s="1"/>
  <c r="J71" i="117"/>
  <c r="L71" i="117"/>
  <c r="M71" i="117"/>
  <c r="N71" i="117"/>
  <c r="Q71" i="117"/>
  <c r="AI71" i="117" s="1"/>
  <c r="J72" i="117"/>
  <c r="L72" i="117"/>
  <c r="M72" i="117"/>
  <c r="N72" i="117"/>
  <c r="Q72" i="117"/>
  <c r="AI72" i="117" s="1"/>
  <c r="J73" i="117"/>
  <c r="L73" i="117"/>
  <c r="M73" i="117"/>
  <c r="N73" i="117"/>
  <c r="Q73" i="117"/>
  <c r="AI73" i="117" s="1"/>
  <c r="J74" i="117"/>
  <c r="L74" i="117"/>
  <c r="M74" i="117"/>
  <c r="N74" i="117"/>
  <c r="Q74" i="117"/>
  <c r="AI74" i="117" s="1"/>
  <c r="AE74" i="117"/>
  <c r="AF74" i="117"/>
  <c r="AG74" i="117"/>
  <c r="J75" i="117"/>
  <c r="L75" i="117"/>
  <c r="M75" i="117"/>
  <c r="N75" i="117"/>
  <c r="Q75" i="117"/>
  <c r="AI75" i="117" s="1"/>
  <c r="AE75" i="117"/>
  <c r="AF75" i="117"/>
  <c r="AG75" i="117"/>
  <c r="J76" i="117"/>
  <c r="L76" i="117"/>
  <c r="M76" i="117"/>
  <c r="N76" i="117"/>
  <c r="Q76" i="117"/>
  <c r="AI76" i="117" s="1"/>
  <c r="AE76" i="117"/>
  <c r="AF76" i="117"/>
  <c r="AG76" i="117"/>
  <c r="J77" i="117"/>
  <c r="L77" i="117"/>
  <c r="M77" i="117"/>
  <c r="N77" i="117"/>
  <c r="Q77" i="117"/>
  <c r="AI77" i="117" s="1"/>
  <c r="AE77" i="117"/>
  <c r="AF77" i="117"/>
  <c r="AG77" i="117"/>
  <c r="T72" i="117" l="1"/>
  <c r="T65" i="117"/>
  <c r="T60" i="117"/>
  <c r="T56" i="117"/>
  <c r="T46" i="117"/>
  <c r="T45" i="117"/>
  <c r="T44" i="117"/>
  <c r="T43" i="117"/>
  <c r="T42" i="117"/>
  <c r="T41" i="117"/>
  <c r="T40" i="117"/>
  <c r="T39" i="117"/>
  <c r="T38" i="117"/>
  <c r="T37" i="117"/>
  <c r="T36" i="117"/>
  <c r="T35" i="117"/>
  <c r="T34" i="117"/>
  <c r="T33" i="117"/>
  <c r="T32" i="117"/>
  <c r="T31" i="117"/>
  <c r="T30" i="117"/>
  <c r="T29" i="117"/>
  <c r="T28" i="117"/>
  <c r="T27" i="117"/>
  <c r="T26" i="117"/>
  <c r="T25" i="117"/>
  <c r="T24" i="117"/>
  <c r="T23" i="117"/>
  <c r="T22" i="117"/>
  <c r="T75" i="117"/>
  <c r="T69" i="117"/>
  <c r="T62" i="117"/>
  <c r="T47" i="117"/>
  <c r="T48" i="117"/>
  <c r="T73" i="117"/>
  <c r="T67" i="117"/>
  <c r="T59" i="117"/>
  <c r="T49" i="117"/>
  <c r="T71" i="117"/>
  <c r="T64" i="117"/>
  <c r="T61" i="117"/>
  <c r="T57" i="117"/>
  <c r="T50" i="117"/>
  <c r="T77" i="117"/>
  <c r="T70" i="117"/>
  <c r="T63" i="117"/>
  <c r="T58" i="117"/>
  <c r="T76" i="117"/>
  <c r="T68" i="117"/>
  <c r="T55" i="117"/>
  <c r="T74" i="117"/>
  <c r="T66" i="117"/>
  <c r="T51" i="117"/>
  <c r="T21" i="117"/>
  <c r="AD73" i="117" l="1"/>
  <c r="AH71" i="117"/>
  <c r="AD67" i="117"/>
  <c r="AH65" i="117"/>
  <c r="AD61" i="117"/>
  <c r="AH59" i="117"/>
  <c r="AD55" i="117"/>
  <c r="AD52" i="117"/>
  <c r="AH72" i="117"/>
  <c r="AD68" i="117"/>
  <c r="AH66" i="117"/>
  <c r="AD62" i="117"/>
  <c r="AH60" i="117"/>
  <c r="AD56" i="117"/>
  <c r="AD71" i="117"/>
  <c r="AH69" i="117"/>
  <c r="AD65" i="117"/>
  <c r="AH63" i="117"/>
  <c r="AD59" i="117"/>
  <c r="AH57" i="117"/>
  <c r="AH54" i="117"/>
  <c r="AD72" i="117"/>
  <c r="AD66" i="117"/>
  <c r="AH58" i="117"/>
  <c r="AD53" i="117"/>
  <c r="S52" i="117"/>
  <c r="Z52" i="117" s="1"/>
  <c r="AH73" i="117"/>
  <c r="AD69" i="117"/>
  <c r="AH67" i="117"/>
  <c r="AD63" i="117"/>
  <c r="AH61" i="117"/>
  <c r="AD57" i="117"/>
  <c r="AH55" i="117"/>
  <c r="AD70" i="117"/>
  <c r="AH68" i="117"/>
  <c r="AD64" i="117"/>
  <c r="AH62" i="117"/>
  <c r="AD58" i="117"/>
  <c r="AH56" i="117"/>
  <c r="S54" i="117"/>
  <c r="Z54" i="117" s="1"/>
  <c r="AH53" i="117"/>
  <c r="AD54" i="117"/>
  <c r="S53" i="117"/>
  <c r="Z53" i="117" s="1"/>
  <c r="AH52" i="117"/>
  <c r="AH70" i="117"/>
  <c r="AH64" i="117"/>
  <c r="AD60" i="117"/>
  <c r="AH75" i="117"/>
  <c r="AH51" i="117"/>
  <c r="AH45" i="117"/>
  <c r="AH39" i="117"/>
  <c r="AH33" i="117"/>
  <c r="AH27" i="117"/>
  <c r="AH21" i="117"/>
  <c r="AH30" i="117"/>
  <c r="AH41" i="117"/>
  <c r="AH74" i="117"/>
  <c r="AH50" i="117"/>
  <c r="AH44" i="117"/>
  <c r="AH38" i="117"/>
  <c r="AH32" i="117"/>
  <c r="AH26" i="117"/>
  <c r="AH20" i="117"/>
  <c r="AH48" i="117"/>
  <c r="AH77" i="117"/>
  <c r="AH29" i="117"/>
  <c r="AH49" i="117"/>
  <c r="AH43" i="117"/>
  <c r="AH37" i="117"/>
  <c r="AH31" i="117"/>
  <c r="AH25" i="117"/>
  <c r="AH19" i="117"/>
  <c r="AH36" i="117"/>
  <c r="AH47" i="117"/>
  <c r="AH23" i="117"/>
  <c r="AH76" i="117"/>
  <c r="AH46" i="117"/>
  <c r="AH40" i="117"/>
  <c r="AH34" i="117"/>
  <c r="AH28" i="117"/>
  <c r="AH22" i="117"/>
  <c r="AH42" i="117"/>
  <c r="AH24" i="117"/>
  <c r="AH35" i="117"/>
  <c r="AD23" i="117"/>
  <c r="AD29" i="117"/>
  <c r="AD35" i="117"/>
  <c r="AD41" i="117"/>
  <c r="AD47" i="117"/>
  <c r="AD77" i="117"/>
  <c r="AD26" i="117"/>
  <c r="AD38" i="117"/>
  <c r="AD21" i="117"/>
  <c r="AD39" i="117"/>
  <c r="AD22" i="117"/>
  <c r="AD40" i="117"/>
  <c r="AD76" i="117"/>
  <c r="AD24" i="117"/>
  <c r="AD30" i="117"/>
  <c r="AD36" i="117"/>
  <c r="AD42" i="117"/>
  <c r="AD48" i="117"/>
  <c r="AD19" i="117"/>
  <c r="AD20" i="117"/>
  <c r="AD44" i="117"/>
  <c r="AD33" i="117"/>
  <c r="AD51" i="117"/>
  <c r="AD75" i="117"/>
  <c r="AD28" i="117"/>
  <c r="AD25" i="117"/>
  <c r="AD31" i="117"/>
  <c r="AD37" i="117"/>
  <c r="AD43" i="117"/>
  <c r="AD49" i="117"/>
  <c r="AD32" i="117"/>
  <c r="AD50" i="117"/>
  <c r="AD74" i="117"/>
  <c r="AD27" i="117"/>
  <c r="AD45" i="117"/>
  <c r="AD34" i="117"/>
  <c r="AD46" i="117"/>
  <c r="S22" i="117"/>
  <c r="Z22" i="117" s="1"/>
  <c r="S30" i="117"/>
  <c r="Z30" i="117" s="1"/>
  <c r="S38" i="117"/>
  <c r="Z38" i="117" s="1"/>
  <c r="S46" i="117"/>
  <c r="Z46" i="117" s="1"/>
  <c r="S62" i="117"/>
  <c r="Z62" i="117" s="1"/>
  <c r="S70" i="117"/>
  <c r="Z70" i="117" s="1"/>
  <c r="S19" i="117"/>
  <c r="S72" i="117"/>
  <c r="Z72" i="117" s="1"/>
  <c r="S33" i="117"/>
  <c r="Z33" i="117" s="1"/>
  <c r="S41" i="117"/>
  <c r="Z41" i="117" s="1"/>
  <c r="S57" i="117"/>
  <c r="Z57" i="117" s="1"/>
  <c r="S73" i="117"/>
  <c r="Z73" i="117" s="1"/>
  <c r="S50" i="117"/>
  <c r="Z50" i="117" s="1"/>
  <c r="S74" i="117"/>
  <c r="Z74" i="117" s="1"/>
  <c r="S43" i="117"/>
  <c r="Z43" i="117" s="1"/>
  <c r="S67" i="117"/>
  <c r="Z67" i="117" s="1"/>
  <c r="S20" i="117"/>
  <c r="S44" i="117"/>
  <c r="Z44" i="117" s="1"/>
  <c r="S68" i="117"/>
  <c r="Z68" i="117" s="1"/>
  <c r="S29" i="117"/>
  <c r="Z29" i="117" s="1"/>
  <c r="S69" i="117"/>
  <c r="Z69" i="117" s="1"/>
  <c r="S23" i="117"/>
  <c r="Z23" i="117" s="1"/>
  <c r="S31" i="117"/>
  <c r="Z31" i="117" s="1"/>
  <c r="S39" i="117"/>
  <c r="Z39" i="117" s="1"/>
  <c r="S47" i="117"/>
  <c r="Z47" i="117" s="1"/>
  <c r="S55" i="117"/>
  <c r="Z55" i="117" s="1"/>
  <c r="S63" i="117"/>
  <c r="Z63" i="117" s="1"/>
  <c r="S71" i="117"/>
  <c r="Z71" i="117" s="1"/>
  <c r="S24" i="117"/>
  <c r="Z24" i="117" s="1"/>
  <c r="S32" i="117"/>
  <c r="Z32" i="117" s="1"/>
  <c r="S40" i="117"/>
  <c r="Z40" i="117" s="1"/>
  <c r="S48" i="117"/>
  <c r="Z48" i="117" s="1"/>
  <c r="S56" i="117"/>
  <c r="Z56" i="117" s="1"/>
  <c r="S64" i="117"/>
  <c r="Z64" i="117" s="1"/>
  <c r="S25" i="117"/>
  <c r="Z25" i="117" s="1"/>
  <c r="S49" i="117"/>
  <c r="Z49" i="117" s="1"/>
  <c r="S65" i="117"/>
  <c r="Z65" i="117" s="1"/>
  <c r="S42" i="117"/>
  <c r="Z42" i="117" s="1"/>
  <c r="S66" i="117"/>
  <c r="Z66" i="117" s="1"/>
  <c r="S35" i="117"/>
  <c r="Z35" i="117" s="1"/>
  <c r="S59" i="117"/>
  <c r="Z59" i="117" s="1"/>
  <c r="S28" i="117"/>
  <c r="Z28" i="117" s="1"/>
  <c r="S60" i="117"/>
  <c r="Z60" i="117" s="1"/>
  <c r="S21" i="117"/>
  <c r="Z21" i="117" s="1"/>
  <c r="S45" i="117"/>
  <c r="Z45" i="117" s="1"/>
  <c r="S77" i="117"/>
  <c r="Z77" i="117" s="1"/>
  <c r="S26" i="117"/>
  <c r="Z26" i="117" s="1"/>
  <c r="S34" i="117"/>
  <c r="Z34" i="117" s="1"/>
  <c r="S58" i="117"/>
  <c r="Z58" i="117" s="1"/>
  <c r="S27" i="117"/>
  <c r="Z27" i="117" s="1"/>
  <c r="S51" i="117"/>
  <c r="Z51" i="117" s="1"/>
  <c r="S75" i="117"/>
  <c r="Z75" i="117" s="1"/>
  <c r="S36" i="117"/>
  <c r="Z36" i="117" s="1"/>
  <c r="S76" i="117"/>
  <c r="Z76" i="117" s="1"/>
  <c r="S37" i="117"/>
  <c r="Z37" i="117" s="1"/>
  <c r="S61" i="117"/>
  <c r="Z61" i="117" s="1"/>
  <c r="AG20" i="117"/>
  <c r="AF20" i="117"/>
  <c r="Q20" i="117"/>
  <c r="AI20" i="117" s="1"/>
  <c r="N20" i="117"/>
  <c r="M20" i="117"/>
  <c r="AG19" i="117"/>
  <c r="AF19" i="117"/>
  <c r="Q19" i="117"/>
  <c r="AI19" i="117" s="1"/>
  <c r="N19" i="117"/>
  <c r="M19" i="117"/>
  <c r="AB64" i="117" l="1"/>
  <c r="AB67" i="117"/>
  <c r="AB63" i="117"/>
  <c r="AB38" i="117"/>
  <c r="AB61" i="117"/>
  <c r="AB21" i="117"/>
  <c r="AB55" i="117"/>
  <c r="AB29" i="117"/>
  <c r="AB74" i="117"/>
  <c r="AB72" i="117"/>
  <c r="AB30" i="117"/>
  <c r="AB75" i="117"/>
  <c r="AB35" i="117"/>
  <c r="AB60" i="117"/>
  <c r="AB22" i="117"/>
  <c r="AB59" i="117"/>
  <c r="AB46" i="117"/>
  <c r="AB69" i="117"/>
  <c r="AB33" i="117"/>
  <c r="AB58" i="117"/>
  <c r="AB34" i="117"/>
  <c r="AB49" i="117"/>
  <c r="AB32" i="117"/>
  <c r="AB31" i="117"/>
  <c r="AB27" i="117"/>
  <c r="AB48" i="117"/>
  <c r="AB65" i="117"/>
  <c r="AB76" i="117"/>
  <c r="AB19" i="117"/>
  <c r="AB36" i="117"/>
  <c r="AB26" i="117"/>
  <c r="AB57" i="117"/>
  <c r="AB62" i="117"/>
  <c r="AB28" i="117"/>
  <c r="AB71" i="117"/>
  <c r="AB23" i="117"/>
  <c r="AB41" i="117"/>
  <c r="AB51" i="117"/>
  <c r="AB45" i="117"/>
  <c r="AB25" i="117"/>
  <c r="AB24" i="117"/>
  <c r="AB66" i="117"/>
  <c r="AB56" i="117"/>
  <c r="AB54" i="117"/>
  <c r="AB37" i="117"/>
  <c r="AB68" i="117"/>
  <c r="AB52" i="117"/>
  <c r="AB39" i="117"/>
  <c r="AB44" i="117"/>
  <c r="AB73" i="117"/>
  <c r="AB70" i="117"/>
  <c r="AB53" i="117"/>
  <c r="AB40" i="117"/>
  <c r="AB77" i="117"/>
  <c r="AB42" i="117"/>
  <c r="AB43" i="117"/>
  <c r="AB50" i="117"/>
  <c r="AB47" i="117"/>
  <c r="T20" i="117"/>
  <c r="Z20" i="117" s="1"/>
  <c r="AB20" i="117"/>
  <c r="T19" i="117"/>
  <c r="Z19" i="117" s="1"/>
  <c r="N15" i="117"/>
  <c r="M15" i="117"/>
  <c r="L15" i="11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I41" i="1"/>
  <c r="H23" i="1" l="1"/>
  <c r="AE20" i="117"/>
  <c r="L20" i="117"/>
  <c r="L19" i="117"/>
  <c r="J19" i="117"/>
  <c r="AE19" i="117"/>
  <c r="J20" i="117"/>
  <c r="J79" i="117" l="1"/>
  <c r="N79" i="117"/>
  <c r="M79" i="117"/>
  <c r="L79" i="117"/>
  <c r="AG79" i="117"/>
  <c r="AE79" i="117"/>
  <c r="AF79" i="117"/>
  <c r="I13" i="117" l="1"/>
  <c r="I12" i="117"/>
  <c r="AC79" i="117"/>
  <c r="G10" i="117" s="1"/>
  <c r="I10" i="117" l="1"/>
  <c r="I9" i="117" s="1"/>
  <c r="I8" i="117" s="1"/>
  <c r="I7" i="117" l="1"/>
  <c r="E4" i="119" l="1"/>
  <c r="N4" i="119" s="1"/>
  <c r="N3" i="117" s="1"/>
  <c r="N3" i="129" l="1"/>
  <c r="N3" i="130"/>
  <c r="N3" i="128"/>
</calcChain>
</file>

<file path=xl/sharedStrings.xml><?xml version="1.0" encoding="utf-8"?>
<sst xmlns="http://schemas.openxmlformats.org/spreadsheetml/2006/main" count="1814" uniqueCount="231">
  <si>
    <t>TABELA DE CABOS C.A (ALIMENTADORES)</t>
  </si>
  <si>
    <t>CIRCUITO</t>
  </si>
  <si>
    <t>DE</t>
  </si>
  <si>
    <t>PARA</t>
  </si>
  <si>
    <t>E. NOM (V)</t>
  </si>
  <si>
    <t>I PROJ (A)</t>
  </si>
  <si>
    <t>DISP. PROT. (A)</t>
  </si>
  <si>
    <t>CABOS EPR 90º (mm²)</t>
  </si>
  <si>
    <t>K</t>
  </si>
  <si>
    <t>Nº CABOS POR FASE</t>
  </si>
  <si>
    <t>METODO DE INSTALAÇÃO</t>
  </si>
  <si>
    <t>COMPRIMENTO (m)</t>
  </si>
  <si>
    <t>QUEDA DE TENSÃO (%)</t>
  </si>
  <si>
    <t xml:space="preserve">FASE </t>
  </si>
  <si>
    <t>NEUTRO</t>
  </si>
  <si>
    <t>TERRA</t>
  </si>
  <si>
    <t>AL.01</t>
  </si>
  <si>
    <t>MEDIÇÃO</t>
  </si>
  <si>
    <t>B1</t>
  </si>
  <si>
    <t>AL.02</t>
  </si>
  <si>
    <t>AL.03</t>
  </si>
  <si>
    <t>AL.04</t>
  </si>
  <si>
    <t>AL.05</t>
  </si>
  <si>
    <t>AL.06</t>
  </si>
  <si>
    <t>AL.07</t>
  </si>
  <si>
    <r>
      <t xml:space="preserve">Queda tensão </t>
    </r>
    <r>
      <rPr>
        <sz val="10"/>
        <rFont val="Calibri"/>
        <family val="2"/>
      </rPr>
      <t>∆</t>
    </r>
    <r>
      <rPr>
        <sz val="8.5"/>
        <rFont val="Arial"/>
        <family val="2"/>
      </rPr>
      <t>%</t>
    </r>
  </si>
  <si>
    <t>PAS</t>
  </si>
  <si>
    <t>CALCULOS GERAIS DO QUADRO</t>
  </si>
  <si>
    <t>TENSÃO QUADRO</t>
  </si>
  <si>
    <t>3F</t>
  </si>
  <si>
    <t>QUADRO</t>
  </si>
  <si>
    <t>NOME DO QUADRO</t>
  </si>
  <si>
    <t>ALIMENTADOR</t>
  </si>
  <si>
    <t>Quant.</t>
  </si>
  <si>
    <t>Fase</t>
  </si>
  <si>
    <t>INFRA ESTRUTURA</t>
  </si>
  <si>
    <t>INFRAESTRUTURA</t>
  </si>
  <si>
    <t>IP</t>
  </si>
  <si>
    <t>DISJUNTOR GERAL</t>
  </si>
  <si>
    <t>QDFL</t>
  </si>
  <si>
    <t>Neutro</t>
  </si>
  <si>
    <t>Ik geral</t>
  </si>
  <si>
    <t>3KVA</t>
  </si>
  <si>
    <t>&lt;---------------</t>
  </si>
  <si>
    <t>PREENCHER Ik</t>
  </si>
  <si>
    <t>Ib (A)</t>
  </si>
  <si>
    <t>EXISTENTE</t>
  </si>
  <si>
    <t>Demanda máxima (VA)</t>
  </si>
  <si>
    <t>LOCALIZAÇÃO</t>
  </si>
  <si>
    <t>Terra</t>
  </si>
  <si>
    <t>DPS</t>
  </si>
  <si>
    <t>classe2</t>
  </si>
  <si>
    <t>reserva (VA)</t>
  </si>
  <si>
    <t>SALA TÉCNICA</t>
  </si>
  <si>
    <t>carga demandada (VA)</t>
  </si>
  <si>
    <t>isolação</t>
  </si>
  <si>
    <t>Freq.</t>
  </si>
  <si>
    <t>60Hz</t>
  </si>
  <si>
    <t>carga instalada (VA)</t>
  </si>
  <si>
    <t>INSTALAÇÃO</t>
  </si>
  <si>
    <t>EPR</t>
  </si>
  <si>
    <t>balanceamento</t>
  </si>
  <si>
    <t>SOBREPOR</t>
  </si>
  <si>
    <t>distância circ.</t>
  </si>
  <si>
    <t>Aterr.</t>
  </si>
  <si>
    <t>TNS</t>
  </si>
  <si>
    <t>Fator de Potência</t>
  </si>
  <si>
    <t>Metros</t>
  </si>
  <si>
    <t>soma das potências de cada fase</t>
  </si>
  <si>
    <t>calculos automáticos</t>
  </si>
  <si>
    <t>R</t>
  </si>
  <si>
    <t>S</t>
  </si>
  <si>
    <t>T</t>
  </si>
  <si>
    <t>Circ.</t>
  </si>
  <si>
    <t>Descrição</t>
  </si>
  <si>
    <t>Alimentação</t>
  </si>
  <si>
    <t>Potência</t>
  </si>
  <si>
    <t>Potência Fases (VA)</t>
  </si>
  <si>
    <t>Disjuntor (A)</t>
  </si>
  <si>
    <t>curva</t>
  </si>
  <si>
    <t>Condutor (mm²)</t>
  </si>
  <si>
    <t>Isolação</t>
  </si>
  <si>
    <t>I-calc (A)</t>
  </si>
  <si>
    <t>I-cabo (A)</t>
  </si>
  <si>
    <t xml:space="preserve">DR </t>
  </si>
  <si>
    <t>AGRUPAMENTO</t>
  </si>
  <si>
    <t>Distância (m)</t>
  </si>
  <si>
    <r>
      <rPr>
        <b/>
        <sz val="10"/>
        <rFont val="Calibri"/>
        <family val="2"/>
      </rPr>
      <t>Queda de Tensão ∆</t>
    </r>
    <r>
      <rPr>
        <b/>
        <sz val="10"/>
        <rFont val="Arial"/>
        <family val="2"/>
      </rPr>
      <t>v (%)</t>
    </r>
  </si>
  <si>
    <t>Demanda</t>
  </si>
  <si>
    <t>I-PROJ</t>
  </si>
  <si>
    <t>Potência Demandada (VA)</t>
  </si>
  <si>
    <t>TENSÃO</t>
  </si>
  <si>
    <t>W</t>
  </si>
  <si>
    <t>VA</t>
  </si>
  <si>
    <t>CosØ</t>
  </si>
  <si>
    <t>S/N</t>
  </si>
  <si>
    <t>Polos</t>
  </si>
  <si>
    <t>I (A)</t>
  </si>
  <si>
    <t>TAG</t>
  </si>
  <si>
    <t>Forma de agrupamento dos condutores</t>
  </si>
  <si>
    <t>I-calc Proj(A)</t>
  </si>
  <si>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</si>
  <si>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</si>
  <si>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</si>
  <si>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</si>
  <si>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</si>
  <si>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</si>
  <si>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</si>
  <si>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</si>
  <si>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</si>
  <si>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</si>
  <si>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</si>
  <si>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</si>
  <si>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</si>
  <si>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</si>
  <si>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</si>
  <si>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</si>
  <si>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Colunas17</t>
  </si>
  <si>
    <t>Colunas18</t>
  </si>
  <si>
    <t>Colunas19</t>
  </si>
  <si>
    <t>Colunas20</t>
  </si>
  <si>
    <t>Colunas23</t>
  </si>
  <si>
    <t>Colunas24</t>
  </si>
  <si>
    <t>Colunas25</t>
  </si>
  <si>
    <t>Colunas254</t>
  </si>
  <si>
    <t>Colunas253</t>
  </si>
  <si>
    <t>Colunas252</t>
  </si>
  <si>
    <t>Colunas26</t>
  </si>
  <si>
    <t>Colunas27</t>
  </si>
  <si>
    <t>Colunas28</t>
  </si>
  <si>
    <t>Colunas282</t>
  </si>
  <si>
    <t>Colunas29</t>
  </si>
  <si>
    <t>Colunas30</t>
  </si>
  <si>
    <t>Colunas31</t>
  </si>
  <si>
    <t>X</t>
  </si>
  <si>
    <t>IL.01</t>
  </si>
  <si>
    <t>ILUMINAÇÃO</t>
  </si>
  <si>
    <t>F+N</t>
  </si>
  <si>
    <t>"C"</t>
  </si>
  <si>
    <t>PVC</t>
  </si>
  <si>
    <t>NÃO</t>
  </si>
  <si>
    <t>IL.02</t>
  </si>
  <si>
    <t>IL.EM</t>
  </si>
  <si>
    <t>ILUM. DE EMERGÊNCIA</t>
  </si>
  <si>
    <t>C0.01</t>
  </si>
  <si>
    <t>CAFETEIRA</t>
  </si>
  <si>
    <t>C0.02</t>
  </si>
  <si>
    <t>MICROONDAS</t>
  </si>
  <si>
    <t>C0.03</t>
  </si>
  <si>
    <t>COOKTOP</t>
  </si>
  <si>
    <t>C0.04</t>
  </si>
  <si>
    <t>IMPRESSORA</t>
  </si>
  <si>
    <t>C0.05</t>
  </si>
  <si>
    <t>STAFF</t>
  </si>
  <si>
    <t>C0.06</t>
  </si>
  <si>
    <t>C0.07</t>
  </si>
  <si>
    <t>C0.08</t>
  </si>
  <si>
    <t>TUGS</t>
  </si>
  <si>
    <t>C0.09</t>
  </si>
  <si>
    <t>TUGS WC</t>
  </si>
  <si>
    <t>RES</t>
  </si>
  <si>
    <t>SOMA DAS POTÊNCIAS</t>
  </si>
  <si>
    <t>LEGENDA PARA DISJUNTORES</t>
  </si>
  <si>
    <t>DISJUNTOR NOVO</t>
  </si>
  <si>
    <t>DISJUNTOR EXISTENTE</t>
  </si>
  <si>
    <t>CIRCUITO/DISJUNTOR EXISTENTE A MANTER</t>
  </si>
  <si>
    <t>CIRCUITO EXISTENTE E DISJUNTOR NOVO</t>
  </si>
  <si>
    <t>CIRCUITO NOVO E DISJUNTOR EXISTENTE</t>
  </si>
  <si>
    <t>EMBUTIDO</t>
  </si>
  <si>
    <t>Tabela 42 Fatores de correção para agrupamento</t>
  </si>
  <si>
    <t>PVC 70ºC</t>
  </si>
  <si>
    <t>Seção Nominal</t>
  </si>
  <si>
    <t>EPR 90ºC</t>
  </si>
  <si>
    <t>N/D</t>
  </si>
  <si>
    <t>TABELA P/ ELETRODUTO</t>
  </si>
  <si>
    <t>"B"</t>
  </si>
  <si>
    <t>Cabo</t>
  </si>
  <si>
    <t>I</t>
  </si>
  <si>
    <t>D ext.</t>
  </si>
  <si>
    <t>Número de Circuitos ou de cabos multipolares</t>
  </si>
  <si>
    <t>Ref. 1 - Em feixe: ao ar livre ou sobre superfície; embutidos; em conduto fechado</t>
  </si>
  <si>
    <t>Ref. 2 - Camada única sobre parede, piso, ou em bandeja não perfurada ou prateleira</t>
  </si>
  <si>
    <t>Ref. 3 - camada única no teto</t>
  </si>
  <si>
    <t>Ref. 4 - Camada única em bandeja perfurada</t>
  </si>
  <si>
    <t>Ref. 5 - Camada única sobre leito, suporte etc.</t>
  </si>
  <si>
    <t>L01</t>
  </si>
  <si>
    <t>L02</t>
  </si>
  <si>
    <t>L03</t>
  </si>
  <si>
    <t>L04</t>
  </si>
  <si>
    <t>L05</t>
  </si>
  <si>
    <t>L06</t>
  </si>
  <si>
    <t>L07</t>
  </si>
  <si>
    <t>L08</t>
  </si>
  <si>
    <t>SOMA</t>
  </si>
  <si>
    <t>"D"</t>
  </si>
  <si>
    <t>LE.01</t>
  </si>
  <si>
    <t>2F</t>
  </si>
  <si>
    <t>LE.02</t>
  </si>
  <si>
    <t>LE.03</t>
  </si>
  <si>
    <t>LE.04</t>
  </si>
  <si>
    <t>LE.05</t>
  </si>
  <si>
    <t>2P</t>
  </si>
  <si>
    <t>LE.06</t>
  </si>
  <si>
    <t>4P</t>
  </si>
  <si>
    <t>LE.07</t>
  </si>
  <si>
    <t>LE.08</t>
  </si>
  <si>
    <t>LE.09</t>
  </si>
  <si>
    <t>LE.10</t>
  </si>
  <si>
    <t>LE.11</t>
  </si>
  <si>
    <t>LE.12</t>
  </si>
  <si>
    <t>LE.13</t>
  </si>
  <si>
    <t>LE.14</t>
  </si>
  <si>
    <t>LE.15</t>
  </si>
  <si>
    <t>LE.16</t>
  </si>
  <si>
    <t>LE.17</t>
  </si>
  <si>
    <t>LE.18</t>
  </si>
  <si>
    <t>LE.19</t>
  </si>
  <si>
    <t>LE.20</t>
  </si>
  <si>
    <t>LE.21</t>
  </si>
  <si>
    <t>LE.22</t>
  </si>
  <si>
    <t>LE.23</t>
  </si>
  <si>
    <t>LE.24</t>
  </si>
  <si>
    <t>LE.25</t>
  </si>
  <si>
    <t>LE.26</t>
  </si>
  <si>
    <t>LE.XX1</t>
  </si>
  <si>
    <t>LE.28</t>
  </si>
  <si>
    <t>LE.29</t>
  </si>
  <si>
    <t>LE.30</t>
  </si>
  <si>
    <t>LE.31</t>
  </si>
  <si>
    <t>LE.32</t>
  </si>
  <si>
    <t>ndisp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</si>
</sst>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\ &quot;kA&quot;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10"/>
      <name val="Arial"/>
      <family val="2"/>
    </font>
    <font>
      <sz val="10"/>
      <color indexed="48"/>
      <name val="Arial"/>
      <family val="2"/>
    </font>
    <font>
      <i/>
      <sz val="10"/>
      <color indexed="48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b/>
      <sz val="14"/>
      <color indexed="10"/>
      <name val="Arial"/>
      <family val="2"/>
    </font>
    <font>
      <sz val="10"/>
      <name val="Calibri"/>
      <family val="2"/>
    </font>
    <font>
      <sz val="8.5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22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9">
    <xf numFmtId="0" fontId="0" fillId="0" borderId="0"/>
    <xf numFmtId="0" fontId="16" fillId="0" borderId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</cellStyleXfs>
  <cellXfs count="27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3" fillId="0" borderId="0" xfId="2" applyAlignment="1">
      <alignment horizontal="left"/>
    </xf>
    <xf numFmtId="0" fontId="3" fillId="0" borderId="3" xfId="2" applyBorder="1"/>
    <xf numFmtId="0" fontId="3" fillId="0" borderId="4" xfId="2" applyBorder="1" applyAlignment="1">
      <alignment vertical="top"/>
    </xf>
    <xf numFmtId="0" fontId="3" fillId="0" borderId="5" xfId="2" applyBorder="1" applyAlignment="1">
      <alignment horizontal="left" vertical="top"/>
    </xf>
    <xf numFmtId="2" fontId="0" fillId="0" borderId="0" xfId="4" applyNumberFormat="1" applyFont="1" applyProtection="1"/>
    <xf numFmtId="2" fontId="0" fillId="0" borderId="0" xfId="0" applyNumberFormat="1"/>
    <xf numFmtId="0" fontId="0" fillId="3" borderId="0" xfId="0" applyFill="1"/>
    <xf numFmtId="0" fontId="6" fillId="3" borderId="2" xfId="0" applyFont="1" applyFill="1" applyBorder="1"/>
    <xf numFmtId="0" fontId="0" fillId="3" borderId="11" xfId="0" applyFill="1" applyBorder="1"/>
    <xf numFmtId="0" fontId="5" fillId="3" borderId="13" xfId="0" applyFont="1" applyFill="1" applyBorder="1"/>
    <xf numFmtId="0" fontId="0" fillId="3" borderId="5" xfId="0" applyFill="1" applyBorder="1"/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left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9" xfId="0" applyFill="1" applyBorder="1"/>
    <xf numFmtId="0" fontId="0" fillId="3" borderId="20" xfId="0" applyFill="1" applyBorder="1"/>
    <xf numFmtId="4" fontId="0" fillId="3" borderId="0" xfId="0" applyNumberFormat="1" applyFill="1"/>
    <xf numFmtId="0" fontId="0" fillId="3" borderId="13" xfId="0" applyFill="1" applyBorder="1"/>
    <xf numFmtId="0" fontId="5" fillId="3" borderId="24" xfId="0" applyFont="1" applyFill="1" applyBorder="1"/>
    <xf numFmtId="0" fontId="5" fillId="3" borderId="25" xfId="0" applyFont="1" applyFill="1" applyBorder="1"/>
    <xf numFmtId="0" fontId="0" fillId="3" borderId="7" xfId="0" applyFill="1" applyBorder="1"/>
    <xf numFmtId="0" fontId="10" fillId="3" borderId="22" xfId="0" applyFont="1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6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" fontId="0" fillId="5" borderId="23" xfId="0" applyNumberFormat="1" applyFill="1" applyBorder="1" applyAlignment="1">
      <alignment horizontal="center"/>
    </xf>
    <xf numFmtId="1" fontId="0" fillId="5" borderId="21" xfId="0" applyNumberForma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2" fontId="3" fillId="5" borderId="23" xfId="0" applyNumberFormat="1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10" fontId="0" fillId="5" borderId="23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/>
    <xf numFmtId="0" fontId="5" fillId="5" borderId="21" xfId="5" applyFont="1" applyFill="1" applyBorder="1"/>
    <xf numFmtId="0" fontId="3" fillId="5" borderId="23" xfId="5" applyFill="1" applyBorder="1"/>
    <xf numFmtId="2" fontId="3" fillId="5" borderId="23" xfId="5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/>
    <xf numFmtId="9" fontId="3" fillId="3" borderId="21" xfId="3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5" fillId="0" borderId="21" xfId="5" applyFont="1" applyBorder="1"/>
    <xf numFmtId="0" fontId="3" fillId="0" borderId="23" xfId="5" applyBorder="1"/>
    <xf numFmtId="2" fontId="3" fillId="0" borderId="23" xfId="5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5" fillId="0" borderId="23" xfId="0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5" fillId="0" borderId="26" xfId="5" applyFont="1" applyBorder="1"/>
    <xf numFmtId="0" fontId="5" fillId="0" borderId="2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5" fillId="0" borderId="21" xfId="0" applyFont="1" applyBorder="1"/>
    <xf numFmtId="0" fontId="0" fillId="0" borderId="23" xfId="0" applyBorder="1"/>
    <xf numFmtId="0" fontId="0" fillId="0" borderId="21" xfId="0" applyBorder="1" applyAlignment="1">
      <alignment horizontal="center"/>
    </xf>
    <xf numFmtId="10" fontId="0" fillId="0" borderId="28" xfId="0" applyNumberFormat="1" applyBorder="1"/>
    <xf numFmtId="0" fontId="5" fillId="0" borderId="0" xfId="0" applyFont="1"/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6" fillId="6" borderId="31" xfId="1" applyFill="1" applyBorder="1" applyAlignment="1">
      <alignment horizontal="center"/>
    </xf>
    <xf numFmtId="0" fontId="2" fillId="0" borderId="0" xfId="7"/>
    <xf numFmtId="0" fontId="2" fillId="7" borderId="31" xfId="7" applyFill="1" applyBorder="1"/>
    <xf numFmtId="0" fontId="2" fillId="3" borderId="31" xfId="7" applyFill="1" applyBorder="1"/>
    <xf numFmtId="0" fontId="2" fillId="3" borderId="31" xfId="7" applyFill="1" applyBorder="1" applyAlignment="1">
      <alignment horizontal="center" vertical="center"/>
    </xf>
    <xf numFmtId="0" fontId="2" fillId="3" borderId="34" xfId="7" applyFill="1" applyBorder="1" applyAlignment="1">
      <alignment horizontal="center" vertical="center"/>
    </xf>
    <xf numFmtId="0" fontId="2" fillId="3" borderId="35" xfId="7" applyFill="1" applyBorder="1" applyAlignment="1">
      <alignment horizontal="center" vertical="center"/>
    </xf>
    <xf numFmtId="2" fontId="2" fillId="3" borderId="31" xfId="7" applyNumberForma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10" fontId="5" fillId="0" borderId="17" xfId="0" applyNumberFormat="1" applyFont="1" applyBorder="1" applyAlignment="1">
      <alignment horizontal="center"/>
    </xf>
    <xf numFmtId="2" fontId="0" fillId="5" borderId="36" xfId="0" applyNumberForma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" fontId="20" fillId="5" borderId="37" xfId="0" applyNumberFormat="1" applyFont="1" applyFill="1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" fontId="20" fillId="5" borderId="7" xfId="0" applyNumberFormat="1" applyFont="1" applyFill="1" applyBorder="1" applyAlignment="1">
      <alignment horizontal="center"/>
    </xf>
    <xf numFmtId="0" fontId="0" fillId="5" borderId="21" xfId="0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1" fontId="20" fillId="5" borderId="8" xfId="0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8" xfId="0" applyFill="1" applyBorder="1"/>
    <xf numFmtId="0" fontId="3" fillId="0" borderId="23" xfId="0" quotePrefix="1" applyFont="1" applyBorder="1"/>
    <xf numFmtId="0" fontId="1" fillId="3" borderId="31" xfId="7" applyFont="1" applyFill="1" applyBorder="1"/>
    <xf numFmtId="10" fontId="3" fillId="3" borderId="0" xfId="3" applyNumberFormat="1" applyFont="1" applyFill="1" applyProtection="1"/>
    <xf numFmtId="2" fontId="5" fillId="0" borderId="0" xfId="0" applyNumberFormat="1" applyFont="1"/>
    <xf numFmtId="0" fontId="2" fillId="3" borderId="31" xfId="7" quotePrefix="1" applyFill="1" applyBorder="1" applyAlignment="1">
      <alignment horizontal="center" vertical="center"/>
    </xf>
    <xf numFmtId="10" fontId="0" fillId="0" borderId="21" xfId="3" applyNumberFormat="1" applyFont="1" applyFill="1" applyBorder="1" applyAlignment="1" applyProtection="1">
      <alignment horizontal="center"/>
    </xf>
    <xf numFmtId="0" fontId="5" fillId="14" borderId="42" xfId="0" applyFont="1" applyFill="1" applyBorder="1" applyAlignment="1">
      <alignment horizontal="center"/>
    </xf>
    <xf numFmtId="0" fontId="5" fillId="14" borderId="31" xfId="0" applyFont="1" applyFill="1" applyBorder="1" applyAlignment="1">
      <alignment horizontal="center"/>
    </xf>
    <xf numFmtId="0" fontId="5" fillId="14" borderId="43" xfId="0" applyFont="1" applyFill="1" applyBorder="1" applyAlignment="1">
      <alignment horizontal="center"/>
    </xf>
    <xf numFmtId="0" fontId="3" fillId="14" borderId="44" xfId="0" applyFont="1" applyFill="1" applyBorder="1" applyAlignment="1">
      <alignment horizontal="center"/>
    </xf>
    <xf numFmtId="0" fontId="3" fillId="14" borderId="45" xfId="0" applyFont="1" applyFill="1" applyBorder="1" applyAlignment="1">
      <alignment horizontal="center"/>
    </xf>
    <xf numFmtId="0" fontId="3" fillId="14" borderId="46" xfId="0" applyFont="1" applyFill="1" applyBorder="1" applyAlignment="1">
      <alignment horizontal="center"/>
    </xf>
    <xf numFmtId="0" fontId="5" fillId="14" borderId="47" xfId="0" applyFont="1" applyFill="1" applyBorder="1" applyAlignment="1">
      <alignment horizontal="center"/>
    </xf>
    <xf numFmtId="0" fontId="5" fillId="15" borderId="47" xfId="0" applyFont="1" applyFill="1" applyBorder="1"/>
    <xf numFmtId="0" fontId="0" fillId="0" borderId="4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5" fillId="14" borderId="50" xfId="0" applyFont="1" applyFill="1" applyBorder="1" applyAlignment="1">
      <alignment horizontal="center"/>
    </xf>
    <xf numFmtId="0" fontId="5" fillId="15" borderId="50" xfId="0" applyFont="1" applyFill="1" applyBorder="1"/>
    <xf numFmtId="0" fontId="0" fillId="0" borderId="4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15" borderId="51" xfId="0" applyFont="1" applyFill="1" applyBorder="1"/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5" fillId="14" borderId="51" xfId="0" applyFont="1" applyFill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22" fillId="0" borderId="42" xfId="0" applyFont="1" applyBorder="1" applyAlignment="1">
      <alignment horizontal="center"/>
    </xf>
    <xf numFmtId="0" fontId="0" fillId="0" borderId="31" xfId="0" applyBorder="1"/>
    <xf numFmtId="0" fontId="0" fillId="0" borderId="43" xfId="0" applyBorder="1"/>
    <xf numFmtId="0" fontId="0" fillId="0" borderId="52" xfId="0" applyBorder="1" applyAlignment="1">
      <alignment vertical="center" wrapText="1"/>
    </xf>
    <xf numFmtId="0" fontId="0" fillId="0" borderId="32" xfId="0" applyBorder="1" applyAlignment="1">
      <alignment vertical="center"/>
    </xf>
    <xf numFmtId="0" fontId="0" fillId="0" borderId="53" xfId="0" applyBorder="1" applyAlignment="1">
      <alignment vertical="center"/>
    </xf>
    <xf numFmtId="0" fontId="22" fillId="0" borderId="39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5" borderId="27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5" borderId="54" xfId="0" applyFon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3" fillId="0" borderId="55" xfId="0" applyFont="1" applyBorder="1" applyAlignment="1">
      <alignment horizontal="center"/>
    </xf>
    <xf numFmtId="2" fontId="3" fillId="0" borderId="36" xfId="0" quotePrefix="1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9" xfId="0" applyFont="1" applyBorder="1" applyAlignment="1">
      <alignment horizontal="center" wrapText="1"/>
    </xf>
    <xf numFmtId="0" fontId="5" fillId="0" borderId="57" xfId="0" applyFont="1" applyBorder="1"/>
    <xf numFmtId="2" fontId="0" fillId="0" borderId="56" xfId="0" applyNumberFormat="1" applyBorder="1"/>
    <xf numFmtId="0" fontId="3" fillId="0" borderId="40" xfId="0" applyFont="1" applyBorder="1" applyAlignment="1">
      <alignment vertical="center"/>
    </xf>
    <xf numFmtId="0" fontId="3" fillId="0" borderId="2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7" fillId="3" borderId="0" xfId="0" applyFont="1" applyFill="1"/>
    <xf numFmtId="0" fontId="0" fillId="8" borderId="61" xfId="0" applyFill="1" applyBorder="1"/>
    <xf numFmtId="0" fontId="0" fillId="9" borderId="61" xfId="0" applyFill="1" applyBorder="1"/>
    <xf numFmtId="0" fontId="0" fillId="10" borderId="61" xfId="0" applyFill="1" applyBorder="1"/>
    <xf numFmtId="0" fontId="0" fillId="11" borderId="61" xfId="0" applyFill="1" applyBorder="1"/>
    <xf numFmtId="0" fontId="0" fillId="12" borderId="66" xfId="0" applyFill="1" applyBorder="1"/>
    <xf numFmtId="0" fontId="2" fillId="7" borderId="32" xfId="7" applyFill="1" applyBorder="1" applyAlignment="1">
      <alignment horizontal="center" vertical="center" wrapText="1"/>
    </xf>
    <xf numFmtId="0" fontId="2" fillId="7" borderId="33" xfId="7" applyFill="1" applyBorder="1" applyAlignment="1">
      <alignment horizontal="center" vertical="center" wrapText="1"/>
    </xf>
    <xf numFmtId="0" fontId="2" fillId="7" borderId="32" xfId="7" applyFill="1" applyBorder="1" applyAlignment="1">
      <alignment horizontal="center" vertical="center"/>
    </xf>
    <xf numFmtId="0" fontId="2" fillId="7" borderId="33" xfId="7" applyFill="1" applyBorder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2" fillId="7" borderId="31" xfId="7" applyFill="1" applyBorder="1" applyAlignment="1">
      <alignment horizontal="center" vertical="center"/>
    </xf>
    <xf numFmtId="0" fontId="2" fillId="7" borderId="31" xfId="7" applyFill="1" applyBorder="1" applyAlignment="1">
      <alignment horizontal="center"/>
    </xf>
    <xf numFmtId="0" fontId="7" fillId="16" borderId="58" xfId="0" applyFont="1" applyFill="1" applyBorder="1" applyAlignment="1">
      <alignment horizontal="center" vertical="center"/>
    </xf>
    <xf numFmtId="0" fontId="7" fillId="16" borderId="59" xfId="0" applyFont="1" applyFill="1" applyBorder="1" applyAlignment="1">
      <alignment horizontal="center" vertical="center"/>
    </xf>
    <xf numFmtId="0" fontId="7" fillId="16" borderId="60" xfId="0" applyFont="1" applyFill="1" applyBorder="1" applyAlignment="1">
      <alignment horizontal="center" vertical="center"/>
    </xf>
    <xf numFmtId="0" fontId="7" fillId="16" borderId="61" xfId="0" applyFont="1" applyFill="1" applyBorder="1" applyAlignment="1">
      <alignment horizontal="center" vertical="center"/>
    </xf>
    <xf numFmtId="0" fontId="7" fillId="16" borderId="62" xfId="0" applyFont="1" applyFill="1" applyBorder="1" applyAlignment="1">
      <alignment horizontal="center" vertical="center"/>
    </xf>
    <xf numFmtId="0" fontId="7" fillId="16" borderId="6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3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 textRotation="90" wrapText="1"/>
    </xf>
    <xf numFmtId="0" fontId="5" fillId="3" borderId="19" xfId="0" applyFont="1" applyFill="1" applyBorder="1" applyAlignment="1">
      <alignment horizontal="center" vertical="center" textRotation="90" wrapText="1"/>
    </xf>
    <xf numFmtId="0" fontId="5" fillId="3" borderId="13" xfId="0" applyFont="1" applyFill="1" applyBorder="1" applyAlignment="1">
      <alignment horizontal="center" vertical="center" textRotation="90" wrapText="1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11" fillId="3" borderId="3" xfId="0" applyFont="1" applyFill="1" applyBorder="1" applyAlignment="1" applyProtection="1">
      <alignment horizontal="center" vertical="center" wrapText="1"/>
      <protection locked="0"/>
    </xf>
    <xf numFmtId="0" fontId="11" fillId="3" borderId="7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1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3" fillId="3" borderId="16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/>
    </xf>
    <xf numFmtId="12" fontId="13" fillId="3" borderId="19" xfId="0" applyNumberFormat="1" applyFont="1" applyFill="1" applyBorder="1" applyAlignment="1">
      <alignment horizontal="center" vertical="center" textRotation="90"/>
    </xf>
    <xf numFmtId="12" fontId="13" fillId="3" borderId="13" xfId="0" applyNumberFormat="1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9" fontId="3" fillId="3" borderId="26" xfId="3" applyFont="1" applyFill="1" applyBorder="1" applyAlignment="1">
      <alignment horizontal="left"/>
    </xf>
    <xf numFmtId="9" fontId="3" fillId="3" borderId="29" xfId="3" applyFont="1" applyFill="1" applyBorder="1" applyAlignment="1">
      <alignment horizontal="left"/>
    </xf>
    <xf numFmtId="2" fontId="0" fillId="3" borderId="4" xfId="0" applyNumberFormat="1" applyFill="1" applyBorder="1" applyAlignment="1">
      <alignment horizontal="left"/>
    </xf>
    <xf numFmtId="2" fontId="0" fillId="3" borderId="8" xfId="0" applyNumberFormat="1" applyFill="1" applyBorder="1" applyAlignment="1">
      <alignment horizontal="left"/>
    </xf>
    <xf numFmtId="3" fontId="0" fillId="3" borderId="26" xfId="0" applyNumberFormat="1" applyFill="1" applyBorder="1" applyAlignment="1">
      <alignment horizontal="left"/>
    </xf>
    <xf numFmtId="3" fontId="0" fillId="3" borderId="29" xfId="0" applyNumberForma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9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5" fillId="3" borderId="0" xfId="0" applyFont="1" applyFill="1" applyAlignment="1">
      <alignment horizontal="center" vertical="center" textRotation="90" wrapText="1"/>
    </xf>
    <xf numFmtId="0" fontId="5" fillId="3" borderId="7" xfId="0" applyFont="1" applyFill="1" applyBorder="1" applyAlignment="1">
      <alignment horizontal="center" vertical="center" textRotation="90" wrapText="1"/>
    </xf>
    <xf numFmtId="0" fontId="5" fillId="3" borderId="4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Alignment="1">
      <alignment horizontal="center" vertical="center" textRotation="90" wrapText="1"/>
    </xf>
    <xf numFmtId="0" fontId="5" fillId="3" borderId="8" xfId="0" applyFont="1" applyFill="1" applyBorder="1" applyAlignment="1">
      <alignment horizontal="center" vertical="center" textRotation="90" wrapText="1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2" fontId="0" fillId="3" borderId="7" xfId="0" applyNumberFormat="1" applyFill="1" applyBorder="1" applyAlignment="1">
      <alignment horizontal="left"/>
    </xf>
    <xf numFmtId="0" fontId="9" fillId="3" borderId="22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4" fontId="0" fillId="3" borderId="62" xfId="0" applyNumberFormat="1" applyFill="1" applyBorder="1" applyAlignment="1">
      <alignment horizontal="left"/>
    </xf>
    <xf numFmtId="4" fontId="0" fillId="3" borderId="63" xfId="0" applyNumberFormat="1" applyFill="1" applyBorder="1" applyAlignment="1">
      <alignment horizontal="left"/>
    </xf>
    <xf numFmtId="0" fontId="0" fillId="3" borderId="62" xfId="0" applyFill="1" applyBorder="1" applyAlignment="1">
      <alignment horizontal="left"/>
    </xf>
    <xf numFmtId="0" fontId="0" fillId="3" borderId="63" xfId="0" applyFill="1" applyBorder="1" applyAlignment="1">
      <alignment horizontal="left"/>
    </xf>
    <xf numFmtId="0" fontId="0" fillId="3" borderId="64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65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3" borderId="67" xfId="0" applyFill="1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16" fillId="2" borderId="31" xfId="1" applyFill="1" applyBorder="1" applyAlignment="1">
      <alignment horizontal="center"/>
    </xf>
    <xf numFmtId="0" fontId="5" fillId="13" borderId="39" xfId="0" applyFont="1" applyFill="1" applyBorder="1" applyAlignment="1">
      <alignment horizontal="center"/>
    </xf>
    <xf numFmtId="0" fontId="5" fillId="13" borderId="40" xfId="0" applyFont="1" applyFill="1" applyBorder="1" applyAlignment="1">
      <alignment horizontal="center"/>
    </xf>
    <xf numFmtId="0" fontId="5" fillId="13" borderId="41" xfId="0" applyFont="1" applyFill="1" applyBorder="1" applyAlignment="1">
      <alignment horizontal="center"/>
    </xf>
    <xf numFmtId="10" fontId="1" fillId="3" borderId="31" xfId="3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7" fillId="3" borderId="10" xfId="0" applyFont="1" applyFill="1" applyBorder="1"/>
    <xf numFmtId="9" fontId="3" fillId="3" borderId="12" xfId="3" applyFont="1" applyFill="1" applyBorder="1" applyProtection="1"/>
    <xf numFmtId="9" fontId="3" fillId="3" borderId="15" xfId="3" applyFont="1" applyFill="1" applyBorder="1" applyProtection="1"/>
    <xf numFmtId="9" fontId="3" fillId="3" borderId="0" xfId="3" applyFont="1" applyFill="1" applyProtection="1"/>
    <xf numFmtId="0" fontId="3" fillId="0" borderId="23" xfId="0" applyFont="1" applyBorder="1"/>
    <xf numFmtId="0" fontId="3" fillId="0" borderId="0" xfId="0" applyFont="1" applyAlignment="1">
      <alignment horizontal="center"/>
    </xf>
    <xf numFmtId="2" fontId="3" fillId="0" borderId="0" xfId="0" applyNumberFormat="1" applyFont="1"/>
    <xf numFmtId="2" fontId="3" fillId="0" borderId="0" xfId="4" applyNumberFormat="1" applyFont="1" applyProtection="1"/>
  </cellXfs>
  <cellStyles count="9">
    <cellStyle name="Comma" xfId="4" builtinId="3"/>
    <cellStyle name="Normal" xfId="0" builtinId="0"/>
    <cellStyle name="Normal 2" xfId="1" xr:uid="{00000000-0005-0000-0000-000001000000}"/>
    <cellStyle name="Normal 2 2" xfId="8" xr:uid="{00000000-0005-0000-0000-000002000000}"/>
    <cellStyle name="Normal 3" xfId="5" xr:uid="{00000000-0005-0000-0000-000003000000}"/>
    <cellStyle name="Normal 4" xfId="7" xr:uid="{00000000-0005-0000-0000-000004000000}"/>
    <cellStyle name="Normal_QLT" xfId="2" xr:uid="{00000000-0005-0000-0000-000005000000}"/>
    <cellStyle name="Percent" xfId="3" builtinId="5"/>
    <cellStyle name="Porcentagem 2" xfId="6" xr:uid="{00000000-0005-0000-0000-000007000000}"/>
  </cellStyles>
  <dxfs count="204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numFmt numFmtId="2" formatCode="0.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  <border>
        <left style="dashed">
          <color rgb="FFC00000"/>
        </left>
        <right style="dashed">
          <color rgb="FFC00000"/>
        </right>
        <top style="dashed">
          <color rgb="FFC00000"/>
        </top>
        <bottom style="dashed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Dot">
          <color rgb="FFC00000"/>
        </left>
        <right style="dashDotDot">
          <color rgb="FFC00000"/>
        </right>
        <top style="dashDotDot">
          <color rgb="FFC00000"/>
        </top>
        <bottom style="dashDotDot">
          <color rgb="FFC00000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numFmt numFmtId="2" formatCode="0.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  <border>
        <left style="dashed">
          <color rgb="FFC00000"/>
        </left>
        <right style="dashed">
          <color rgb="FFC00000"/>
        </right>
        <top style="dashed">
          <color rgb="FFC00000"/>
        </top>
        <bottom style="dashed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Dot">
          <color rgb="FFC00000"/>
        </left>
        <right style="dashDotDot">
          <color rgb="FFC00000"/>
        </right>
        <top style="dashDotDot">
          <color rgb="FFC00000"/>
        </top>
        <bottom style="dashDotDot">
          <color rgb="FFC00000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numFmt numFmtId="2" formatCode="0.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  <border>
        <left style="dashed">
          <color rgb="FFC00000"/>
        </left>
        <right style="dashed">
          <color rgb="FFC00000"/>
        </right>
        <top style="dashed">
          <color rgb="FFC00000"/>
        </top>
        <bottom style="dashed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Dot">
          <color rgb="FFC00000"/>
        </left>
        <right style="dashDotDot">
          <color rgb="FFC00000"/>
        </right>
        <top style="dashDotDot">
          <color rgb="FFC00000"/>
        </top>
        <bottom style="dashDotDot">
          <color rgb="FFC00000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  <protection locked="1" hidden="0"/>
    </dxf>
    <dxf>
      <numFmt numFmtId="2" formatCode="0.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  <border>
        <left style="dashed">
          <color rgb="FFC00000"/>
        </left>
        <right style="dashed">
          <color rgb="FFC00000"/>
        </right>
        <top style="dashed">
          <color rgb="FFC00000"/>
        </top>
        <bottom style="dashed">
          <color rgb="FFC00000"/>
        </bottom>
        <vertical/>
        <horizontal/>
      </border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Dot">
          <color rgb="FFC00000"/>
        </left>
        <right style="dashDotDot">
          <color rgb="FFC00000"/>
        </right>
        <top style="dashDotDot">
          <color rgb="FFC00000"/>
        </top>
        <bottom style="dashDotDot">
          <color rgb="FFC00000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  <border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  <vertical/>
        <horizontal/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QD01" displayName="_QD01" ref="A18:AG79" totalsRowShown="0" headerRowDxfId="185" dataDxfId="184">
  <autoFilter ref="A18:AG79" xr:uid="{00000000-0009-0000-0100-000002000000}"/>
  <tableColumns count="33">
    <tableColumn id="1" xr3:uid="{00000000-0010-0000-0000-000001000000}" name="Colunas1" dataDxfId="183"/>
    <tableColumn id="2" xr3:uid="{00000000-0010-0000-0000-000002000000}" name="Colunas2" dataDxfId="182"/>
    <tableColumn id="3" xr3:uid="{00000000-0010-0000-0000-000003000000}" name="Colunas3" dataDxfId="181"/>
    <tableColumn id="4" xr3:uid="{00000000-0010-0000-0000-000004000000}" name="Colunas4" dataDxfId="180"/>
    <tableColumn id="5" xr3:uid="{00000000-0010-0000-0000-000005000000}" name="Colunas5" dataDxfId="179"/>
    <tableColumn id="6" xr3:uid="{00000000-0010-0000-0000-000006000000}" name="Colunas6" dataDxfId="178"/>
    <tableColumn id="7" xr3:uid="{00000000-0010-0000-0000-000007000000}" name="Colunas7" dataDxfId="177"/>
    <tableColumn id="8" xr3:uid="{00000000-0010-0000-0000-000008000000}" name="Colunas8" dataDxfId="176"/>
    <tableColumn id="9" xr3:uid="{00000000-0010-0000-0000-000009000000}" name="Colunas9" dataDxfId="175"/>
    <tableColumn id="10" xr3:uid="{00000000-0010-0000-0000-00000A000000}" name="Colunas10" dataDxfId="174"/>
    <tableColumn id="11" xr3:uid="{00000000-0010-0000-0000-00000B000000}" name="Colunas11" dataDxfId="173"/>
    <tableColumn id="12" xr3:uid="{00000000-0010-0000-0000-00000C000000}" name="Colunas12" dataDxfId="172"/>
    <tableColumn id="13" xr3:uid="{00000000-0010-0000-0000-00000D000000}" name="Colunas13" dataDxfId="171"/>
    <tableColumn id="14" xr3:uid="{00000000-0010-0000-0000-00000E000000}" name="Colunas14" dataDxfId="170"/>
    <tableColumn id="15" xr3:uid="{00000000-0010-0000-0000-00000F000000}" name="Colunas15" dataDxfId="169"/>
    <tableColumn id="16" xr3:uid="{00000000-0010-0000-0000-000010000000}" name="Colunas16" dataDxfId="168"/>
    <tableColumn id="17" xr3:uid="{00000000-0010-0000-0000-000011000000}" name="Colunas17" dataDxfId="167"/>
    <tableColumn id="18" xr3:uid="{00000000-0010-0000-0000-000012000000}" name="Colunas18" dataDxfId="166"/>
    <tableColumn id="19" xr3:uid="{00000000-0010-0000-0000-000013000000}" name="Colunas19" dataDxfId="165"/>
    <tableColumn id="20" xr3:uid="{00000000-0010-0000-0000-000014000000}" name="Colunas20" dataDxfId="164"/>
    <tableColumn id="23" xr3:uid="{00000000-0010-0000-0000-000017000000}" name="Colunas23" dataDxfId="163"/>
    <tableColumn id="24" xr3:uid="{00000000-0010-0000-0000-000018000000}" name="Colunas24" dataDxfId="162"/>
    <tableColumn id="25" xr3:uid="{00000000-0010-0000-0000-000019000000}" name="Colunas25" dataDxfId="161"/>
    <tableColumn id="32" xr3:uid="{534051E3-0FD3-4DE1-B965-4BF23F13E2E1}" name="Colunas254"/>
    <tableColumn id="22" xr3:uid="{ADB967F3-FD20-4571-A1AC-F24EF9371E8B}" name="Colunas253"/>
    <tableColumn id="21" xr3:uid="{329704B5-4BE5-4B7E-BF61-4C565742484E}" name="Colunas252" dataDxfId="160">
      <calculatedColumnFormula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calculatedColumnFormula>
    </tableColumn>
    <tableColumn id="26" xr3:uid="{00000000-0010-0000-0000-00001A000000}" name="Colunas26" dataDxfId="159"/>
    <tableColumn id="27" xr3:uid="{00000000-0010-0000-0000-00001B000000}" name="Colunas27" dataDxfId="158">
      <calculatedColumnFormula>S19*AA19*AI19/AH19/AJ19/1000</calculatedColumnFormula>
    </tableColumn>
    <tableColumn id="28" xr3:uid="{00000000-0010-0000-0000-00001C000000}" name="Colunas28" dataDxfId="157"/>
    <tableColumn id="33" xr3:uid="{00000000-0010-0000-0000-000021000000}" name="Colunas282" dataDxfId="156"/>
    <tableColumn id="29" xr3:uid="{00000000-0010-0000-0000-00001D000000}" name="Colunas29" dataDxfId="155"/>
    <tableColumn id="30" xr3:uid="{00000000-0010-0000-0000-00001E000000}" name="Colunas30" dataDxfId="154"/>
    <tableColumn id="31" xr3:uid="{00000000-0010-0000-0000-00001F000000}" name="Colunas31" dataDxfId="15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31F1E-8320-4ED2-AF81-AAF416A92B84}" name="_QD012" displayName="_QD012" ref="A18:AG79" totalsRowShown="0" headerRowDxfId="134" dataDxfId="133">
  <autoFilter ref="A18:AG79" xr:uid="{00000000-0009-0000-0100-000002000000}"/>
  <tableColumns count="33">
    <tableColumn id="1" xr3:uid="{1C03D901-D364-4834-891C-560635CA1D24}" name="Colunas1" dataDxfId="132"/>
    <tableColumn id="2" xr3:uid="{1722943C-69D5-4DC8-BB9D-7F2C9B5E0916}" name="Colunas2" dataDxfId="131"/>
    <tableColumn id="3" xr3:uid="{103DF739-AA6C-4B9D-97D1-32B563317FB3}" name="Colunas3" dataDxfId="130"/>
    <tableColumn id="4" xr3:uid="{D7FDC357-E7E8-43A6-8857-1C2D57F2DB73}" name="Colunas4" dataDxfId="129"/>
    <tableColumn id="5" xr3:uid="{718B4B84-259D-4A0D-9D4A-8F81F18DA251}" name="Colunas5" dataDxfId="128"/>
    <tableColumn id="6" xr3:uid="{882D1DD2-BE4D-499A-AF6A-46C9FAF8811A}" name="Colunas6" dataDxfId="127"/>
    <tableColumn id="7" xr3:uid="{F3495A32-A5B8-4016-8F7A-CF1C4A6C68BA}" name="Colunas7" dataDxfId="126"/>
    <tableColumn id="8" xr3:uid="{CB72E381-8B0A-4CAE-AC12-F7FC0F89ED40}" name="Colunas8" dataDxfId="125"/>
    <tableColumn id="9" xr3:uid="{3C95A4B6-C05F-4748-A8D0-16A597478CF8}" name="Colunas9" dataDxfId="124"/>
    <tableColumn id="10" xr3:uid="{323AACC3-1343-4441-988F-E1C163986838}" name="Colunas10" dataDxfId="123"/>
    <tableColumn id="11" xr3:uid="{97D3B986-A94F-471D-9186-9004DE701220}" name="Colunas11" dataDxfId="122"/>
    <tableColumn id="12" xr3:uid="{E274DC34-B152-4D72-8177-7F1218FA31F6}" name="Colunas12" dataDxfId="121"/>
    <tableColumn id="13" xr3:uid="{F86244D4-3126-4EA3-ABA9-C3AA10AFDD04}" name="Colunas13" dataDxfId="120"/>
    <tableColumn id="14" xr3:uid="{EAEC5365-49AB-40BE-96AF-3132EE43CCE9}" name="Colunas14" dataDxfId="119"/>
    <tableColumn id="15" xr3:uid="{F2F6E6CB-E550-4890-9ABD-4F1D290999D4}" name="Colunas15" dataDxfId="118"/>
    <tableColumn id="16" xr3:uid="{20F8412A-0B12-4CAC-8ABF-07D077A40940}" name="Colunas16" dataDxfId="117"/>
    <tableColumn id="17" xr3:uid="{3DAFA0AB-F3C6-4DF2-B14D-5A7E352AF391}" name="Colunas17" dataDxfId="116"/>
    <tableColumn id="18" xr3:uid="{3D1596FB-113D-48BD-8AFB-39485E156FC0}" name="Colunas18" dataDxfId="115"/>
    <tableColumn id="19" xr3:uid="{33C23B17-EF0F-46E8-BFEC-91AA4D8BE6FE}" name="Colunas19" dataDxfId="114"/>
    <tableColumn id="20" xr3:uid="{862E3E74-F86E-41B0-854A-B12AE4243FB7}" name="Colunas20" dataDxfId="113"/>
    <tableColumn id="23" xr3:uid="{7ED30E16-3D9F-4505-867A-4281ECA6F377}" name="Colunas23" dataDxfId="112"/>
    <tableColumn id="24" xr3:uid="{BD2A7D12-B956-40AE-AEB3-77C26AD125D3}" name="Colunas24" dataDxfId="111"/>
    <tableColumn id="25" xr3:uid="{5220C6E8-0D8D-42E6-B254-3A56CD6D2942}" name="Colunas25" dataDxfId="110"/>
    <tableColumn id="32" xr3:uid="{FBCD435A-8DD0-485D-8C9D-84A4F7D476C6}" name="Colunas254"/>
    <tableColumn id="22" xr3:uid="{CF5ED546-54C1-400B-A2A2-3CB5E4AEAEDC}" name="Colunas253"/>
    <tableColumn id="21" xr3:uid="{8DA289BE-C956-4EED-B73B-172F14245C9F}" name="Colunas252" dataDxfId="109">
      <calculatedColumnFormula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calculatedColumnFormula>
    </tableColumn>
    <tableColumn id="26" xr3:uid="{F1192A8B-9474-49A9-BD10-CCE3FC068ED8}" name="Colunas26" dataDxfId="108"/>
    <tableColumn id="27" xr3:uid="{2CB9E363-4EDD-4177-9A8E-0A344029D0E9}" name="Colunas27" dataDxfId="107">
      <calculatedColumnFormula>S19*AA19*AI19/AH19/AJ19/1000</calculatedColumnFormula>
    </tableColumn>
    <tableColumn id="28" xr3:uid="{C9694DEE-5AC3-4509-A1F9-1EF0359F915A}" name="Colunas28" dataDxfId="106"/>
    <tableColumn id="33" xr3:uid="{107A6BFC-CC8D-4FDD-AA49-990A71A81611}" name="Colunas282" dataDxfId="105"/>
    <tableColumn id="29" xr3:uid="{B6EB1B71-55B2-4E56-A3F2-1936B2BF3501}" name="Colunas29" dataDxfId="104"/>
    <tableColumn id="30" xr3:uid="{98EAF469-C98B-4A02-8476-01EBEDE3702F}" name="Colunas30" dataDxfId="103"/>
    <tableColumn id="31" xr3:uid="{650498C6-ED64-4567-9975-C958081515A1}" name="Colunas31" dataDxfId="10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934D2-7143-47CF-A5C0-F7FF18BAD7C7}" name="_QD0124" displayName="_QD0124" ref="A18:AG79" totalsRowShown="0" headerRowDxfId="83" dataDxfId="82">
  <autoFilter ref="A18:AG79" xr:uid="{00000000-0009-0000-0100-000002000000}"/>
  <tableColumns count="33">
    <tableColumn id="1" xr3:uid="{B4CB4B14-3645-4A11-AD30-33BAB08CB90D}" name="Colunas1" dataDxfId="81"/>
    <tableColumn id="2" xr3:uid="{27761E1F-0DA0-420C-B886-7BB7A4D93CE7}" name="Colunas2" dataDxfId="80"/>
    <tableColumn id="3" xr3:uid="{7BEED611-C5B5-45D6-A9DB-36CF0FB93371}" name="Colunas3" dataDxfId="79"/>
    <tableColumn id="4" xr3:uid="{F2DE120A-258C-48B7-97A3-169BEE1E57EB}" name="Colunas4" dataDxfId="78"/>
    <tableColumn id="5" xr3:uid="{09F4477B-2EB6-498B-8151-E3450AAD1E52}" name="Colunas5" dataDxfId="77"/>
    <tableColumn id="6" xr3:uid="{7F783654-942A-4843-AE03-40AC40AD4E3C}" name="Colunas6" dataDxfId="76"/>
    <tableColumn id="7" xr3:uid="{8A82C7A8-B5D0-4077-A038-F9DBBAE9E158}" name="Colunas7" dataDxfId="75"/>
    <tableColumn id="8" xr3:uid="{9A767DF3-BD80-46F2-97FC-67E6BCF4D344}" name="Colunas8" dataDxfId="74"/>
    <tableColumn id="9" xr3:uid="{0A1DF9D4-8F48-42EB-8369-9806639819A6}" name="Colunas9" dataDxfId="73"/>
    <tableColumn id="10" xr3:uid="{FB59FCB1-8F53-4405-974A-C8C1B65E2DD0}" name="Colunas10" dataDxfId="72"/>
    <tableColumn id="11" xr3:uid="{CA38DB54-9AB8-48A9-8991-BDB6A61D437A}" name="Colunas11" dataDxfId="71"/>
    <tableColumn id="12" xr3:uid="{FED0B7E8-47CB-4E92-9287-11CA044AB267}" name="Colunas12" dataDxfId="70"/>
    <tableColumn id="13" xr3:uid="{BE0F0EBF-31D3-4EE4-9BAE-0E5E1538FBE3}" name="Colunas13" dataDxfId="69"/>
    <tableColumn id="14" xr3:uid="{022D4D87-C0EB-4D28-BB01-7BB8E227614B}" name="Colunas14" dataDxfId="68"/>
    <tableColumn id="15" xr3:uid="{87026AC1-642E-4A54-AD80-40385A2DD703}" name="Colunas15" dataDxfId="67"/>
    <tableColumn id="16" xr3:uid="{B4324AEC-D822-42BC-91F5-9A5698B7AEF6}" name="Colunas16" dataDxfId="66"/>
    <tableColumn id="17" xr3:uid="{FA5C84FF-8A29-407D-8487-892A47145C92}" name="Colunas17" dataDxfId="65"/>
    <tableColumn id="18" xr3:uid="{E0D33262-C695-4987-9530-CA4E852C5CC3}" name="Colunas18" dataDxfId="64"/>
    <tableColumn id="19" xr3:uid="{B4468C5D-27E5-4571-94D1-4C9E8C0B9C2E}" name="Colunas19" dataDxfId="63"/>
    <tableColumn id="20" xr3:uid="{D460CBF7-D225-4F7F-A37F-138461DEDC02}" name="Colunas20" dataDxfId="62"/>
    <tableColumn id="23" xr3:uid="{D9B9FE93-9947-40EE-8FC7-2E8F27A732FF}" name="Colunas23" dataDxfId="61"/>
    <tableColumn id="24" xr3:uid="{8DA876C8-4511-4982-86A4-618C17092AEF}" name="Colunas24" dataDxfId="60"/>
    <tableColumn id="25" xr3:uid="{1238CDC9-BC51-41B2-81A6-398F9CAF474D}" name="Colunas25" dataDxfId="59"/>
    <tableColumn id="32" xr3:uid="{6ECBBEE6-0470-4FE7-9C96-3D0AF280F155}" name="Colunas254"/>
    <tableColumn id="22" xr3:uid="{76423CBB-EEBD-4F63-99A1-ABB8402CCC40}" name="Colunas253"/>
    <tableColumn id="21" xr3:uid="{51075A29-44D4-4EA2-9770-7639891089EA}" name="Colunas252" dataDxfId="58">
      <calculatedColumnFormula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calculatedColumnFormula>
    </tableColumn>
    <tableColumn id="26" xr3:uid="{9C440487-BFE7-4BC9-98F2-FCF746723E2D}" name="Colunas26" dataDxfId="57"/>
    <tableColumn id="27" xr3:uid="{3F08E85E-6077-4BAB-83EA-4A429A3FF840}" name="Colunas27" dataDxfId="56">
      <calculatedColumnFormula>S19*AA19*AI19/AH19/AJ19/1000</calculatedColumnFormula>
    </tableColumn>
    <tableColumn id="28" xr3:uid="{1F168F1A-CBF3-4478-AAC3-D90FE8F4EA19}" name="Colunas28" dataDxfId="55"/>
    <tableColumn id="33" xr3:uid="{916B5A8B-10B0-4021-BF19-E917A28AE1BE}" name="Colunas282" dataDxfId="54"/>
    <tableColumn id="29" xr3:uid="{5113E104-FCB4-4541-8945-7ED1F9D990DD}" name="Colunas29" dataDxfId="53"/>
    <tableColumn id="30" xr3:uid="{1884705C-FABA-491F-B15B-56076609A24E}" name="Colunas30" dataDxfId="52"/>
    <tableColumn id="31" xr3:uid="{59420E8C-3242-4B95-B39C-8EBE96F4A8CF}" name="Colunas31" dataDxfId="5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37BEA-FAFF-4FC4-9501-F776B241B2E5}" name="_QD01245" displayName="_QD01245" ref="A18:AG79" totalsRowShown="0" headerRowDxfId="32" dataDxfId="31">
  <autoFilter ref="A18:AG79" xr:uid="{00000000-0009-0000-0100-000002000000}"/>
  <tableColumns count="33">
    <tableColumn id="1" xr3:uid="{DA5C49CE-836F-4AE2-9AC1-866B97D4F24C}" name="Colunas1" dataDxfId="30"/>
    <tableColumn id="2" xr3:uid="{9516D6DB-DCD5-4FED-9DAD-4E0EEC91092C}" name="Colunas2" dataDxfId="29"/>
    <tableColumn id="3" xr3:uid="{A7DE4CAE-F681-4843-AB72-3970A4F9B2D4}" name="Colunas3" dataDxfId="28"/>
    <tableColumn id="4" xr3:uid="{A66FB37E-472E-4CC8-B94E-9F71CC92129A}" name="Colunas4" dataDxfId="27"/>
    <tableColumn id="5" xr3:uid="{A363572F-A44C-4BD6-BA64-678C6876447F}" name="Colunas5" dataDxfId="26"/>
    <tableColumn id="6" xr3:uid="{063742B1-26AD-443D-8C12-9A863F5AE247}" name="Colunas6" dataDxfId="25"/>
    <tableColumn id="7" xr3:uid="{91CEEFC2-C755-4E71-B7D2-152F30EE0B71}" name="Colunas7" dataDxfId="24"/>
    <tableColumn id="8" xr3:uid="{42773469-E74D-4320-8159-0A9C58A8834F}" name="Colunas8" dataDxfId="23"/>
    <tableColumn id="9" xr3:uid="{02745F04-7053-481C-AE49-4C80992BE8B2}" name="Colunas9" dataDxfId="22"/>
    <tableColumn id="10" xr3:uid="{65C8956C-6BF8-4DFD-B936-DDFC32D6FA50}" name="Colunas10" dataDxfId="21"/>
    <tableColumn id="11" xr3:uid="{DF4D0A54-5BF7-497B-8970-8FD2D2BD7C12}" name="Colunas11" dataDxfId="20"/>
    <tableColumn id="12" xr3:uid="{E1DD49EB-56B1-4AA3-9084-8C58669FA525}" name="Colunas12" dataDxfId="19"/>
    <tableColumn id="13" xr3:uid="{68B740B0-8AFB-4CDD-A4BB-52F5AB7D2149}" name="Colunas13" dataDxfId="18"/>
    <tableColumn id="14" xr3:uid="{54C179C7-AEC5-4DD5-8D98-E63E793FB42E}" name="Colunas14" dataDxfId="17"/>
    <tableColumn id="15" xr3:uid="{011FDD84-E449-4677-AD6C-F585DF754346}" name="Colunas15" dataDxfId="16"/>
    <tableColumn id="16" xr3:uid="{06BAD032-3A8F-4EA4-A35D-1915C43B524F}" name="Colunas16" dataDxfId="15"/>
    <tableColumn id="17" xr3:uid="{00CB3379-78DE-427B-9A2E-86EA86672649}" name="Colunas17" dataDxfId="14"/>
    <tableColumn id="18" xr3:uid="{ACE22CC2-64AB-4D47-9E14-CC7EDBBAD31D}" name="Colunas18" dataDxfId="13"/>
    <tableColumn id="19" xr3:uid="{C8F12614-2110-410D-8E67-E50242B49A27}" name="Colunas19" dataDxfId="12"/>
    <tableColumn id="20" xr3:uid="{F451CCFD-55CD-450A-A802-4027B3434999}" name="Colunas20" dataDxfId="11"/>
    <tableColumn id="23" xr3:uid="{B8F30F1B-838D-4EFD-AF32-1355C8A8B562}" name="Colunas23" dataDxfId="10"/>
    <tableColumn id="24" xr3:uid="{CC03E2BC-F2F8-4627-8994-D029CA04EEFD}" name="Colunas24" dataDxfId="9"/>
    <tableColumn id="25" xr3:uid="{71DD2BF2-0A13-4A59-9B5B-E96FF59ADA3F}" name="Colunas25" dataDxfId="8"/>
    <tableColumn id="32" xr3:uid="{8D57FFFA-57A3-494E-9570-5B67EBAF01AA}" name="Colunas254"/>
    <tableColumn id="22" xr3:uid="{EA8B36F3-0324-410E-8408-F7330D893001}" name="Colunas253"/>
    <tableColumn id="21" xr3:uid="{3513BA6A-4CAA-4800-A139-C30A1A0D9F2D}" name="Colunas252" dataDxfId="7">
      <calculatedColumnFormula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calculatedColumnFormula>
    </tableColumn>
    <tableColumn id="26" xr3:uid="{371007DF-5519-414C-8350-541380B01184}" name="Colunas26" dataDxfId="6"/>
    <tableColumn id="27" xr3:uid="{682B11B5-F17F-40D5-894B-98F00ACEB4A7}" name="Colunas27" dataDxfId="5">
      <calculatedColumnFormula>S19*AA19*AI19/AH19/AJ19/1000</calculatedColumnFormula>
    </tableColumn>
    <tableColumn id="28" xr3:uid="{C3A3CC94-6D02-4892-8088-8BD9CFD44ACE}" name="Colunas28" dataDxfId="4"/>
    <tableColumn id="33" xr3:uid="{39774C1D-7F35-4794-BC30-0223BC927334}" name="Colunas282" dataDxfId="3"/>
    <tableColumn id="29" xr3:uid="{59EB328F-105A-4400-8F1A-C26C96B9527D}" name="Colunas29" dataDxfId="2"/>
    <tableColumn id="30" xr3:uid="{08DB3F91-A592-470F-8AA4-C354A7FA5614}" name="Colunas30" dataDxfId="1"/>
    <tableColumn id="31" xr3:uid="{6DABC3D0-A18B-4145-954E-C22E6673FCBE}" name="Colunas3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N13"/>
  <sheetViews>
    <sheetView zoomScaleNormal="100" workbookViewId="0">
      <selection activeCell="L4" sqref="L4"/>
    </sheetView>
  </sheetViews>
  <sheetFormatPr defaultRowHeight="15"/>
  <cols>
    <col min="1" max="1" width="9.28515625" style="75" bestFit="1" customWidth="1"/>
    <col min="2" max="2" width="17.5703125" style="75" bestFit="1" customWidth="1"/>
    <col min="3" max="3" width="20" style="75" bestFit="1" customWidth="1"/>
    <col min="4" max="4" width="10.7109375" style="75" bestFit="1" customWidth="1"/>
    <col min="5" max="5" width="9.5703125" style="75" bestFit="1" customWidth="1"/>
    <col min="6" max="6" width="14.5703125" style="75" bestFit="1" customWidth="1"/>
    <col min="7" max="10" width="9.140625" style="75"/>
    <col min="11" max="12" width="14.42578125" style="75" customWidth="1"/>
    <col min="13" max="13" width="18.5703125" style="75" bestFit="1" customWidth="1"/>
    <col min="14" max="14" width="22.42578125" style="75" bestFit="1" customWidth="1"/>
    <col min="15" max="16384" width="9.140625" style="75"/>
  </cols>
  <sheetData>
    <row r="1" spans="1:14" ht="27.75" customHeight="1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4">
      <c r="A2" s="162" t="s">
        <v>1</v>
      </c>
      <c r="B2" s="162" t="s">
        <v>2</v>
      </c>
      <c r="C2" s="162" t="s">
        <v>3</v>
      </c>
      <c r="D2" s="162" t="s">
        <v>4</v>
      </c>
      <c r="E2" s="162" t="s">
        <v>5</v>
      </c>
      <c r="F2" s="162" t="s">
        <v>6</v>
      </c>
      <c r="G2" s="163" t="s">
        <v>7</v>
      </c>
      <c r="H2" s="163"/>
      <c r="I2" s="163"/>
      <c r="J2" s="159" t="s">
        <v>8</v>
      </c>
      <c r="K2" s="157" t="s">
        <v>9</v>
      </c>
      <c r="L2" s="157" t="s">
        <v>10</v>
      </c>
      <c r="M2" s="159" t="s">
        <v>11</v>
      </c>
      <c r="N2" s="159" t="s">
        <v>12</v>
      </c>
    </row>
    <row r="3" spans="1:14">
      <c r="A3" s="162"/>
      <c r="B3" s="162"/>
      <c r="C3" s="162"/>
      <c r="D3" s="162"/>
      <c r="E3" s="162"/>
      <c r="F3" s="162"/>
      <c r="G3" s="76" t="s">
        <v>13</v>
      </c>
      <c r="H3" s="76" t="s">
        <v>14</v>
      </c>
      <c r="I3" s="76" t="s">
        <v>15</v>
      </c>
      <c r="J3" s="160"/>
      <c r="K3" s="158"/>
      <c r="L3" s="158"/>
      <c r="M3" s="160"/>
      <c r="N3" s="160"/>
    </row>
    <row r="4" spans="1:14">
      <c r="A4" s="77" t="s">
        <v>16</v>
      </c>
      <c r="B4" s="97" t="s">
        <v>17</v>
      </c>
      <c r="C4" s="77" t="str">
        <f>'QD01'!$L$5</f>
        <v>QDFL</v>
      </c>
      <c r="D4" s="78">
        <f>'QD01'!$G$4</f>
        <v>380</v>
      </c>
      <c r="E4" s="81">
        <f>IFERROR('QD01'!$I$7,"")</f>
        <v>38.743241748251208</v>
      </c>
      <c r="F4" s="78">
        <f>'QD01'!$I$5</f>
        <v>100</v>
      </c>
      <c r="G4" s="78">
        <f>'QD01'!$P$5</f>
        <v>0</v>
      </c>
      <c r="H4" s="78">
        <f>'QD01'!$P$7</f>
        <v>0</v>
      </c>
      <c r="I4" s="79">
        <f>'QD01'!$P$9</f>
        <v>0</v>
      </c>
      <c r="J4" s="100" t="str">
        <f>IFERROR(VLOOKUP(G4,Dados!$T$2:$W$19,2,FALSE),"")</f>
        <v/>
      </c>
      <c r="K4" s="78">
        <v>1</v>
      </c>
      <c r="L4" s="80" t="s">
        <v>18</v>
      </c>
      <c r="M4" s="80">
        <f>'QD01'!$O$13</f>
        <v>50</v>
      </c>
      <c r="N4" s="264" t="str">
        <f>IFERROR(E4*M4*J4/D4/K4/1000,"")</f>
        <v/>
      </c>
    </row>
    <row r="5" spans="1:14">
      <c r="A5" s="77" t="s">
        <v>19</v>
      </c>
      <c r="B5" s="97"/>
      <c r="C5" s="77">
        <f>'QD02'!$L$5</f>
        <v>0</v>
      </c>
      <c r="D5" s="78">
        <f>'QD02'!$G$4</f>
        <v>380</v>
      </c>
      <c r="E5" s="81" t="str">
        <f>IFERROR('QD02'!$I$7,"")</f>
        <v/>
      </c>
      <c r="F5" s="78">
        <f>'QD02'!$I$5</f>
        <v>0</v>
      </c>
      <c r="G5" s="78">
        <f>'QD02'!$P$5</f>
        <v>0</v>
      </c>
      <c r="H5" s="78">
        <f>'QD02'!$P$7</f>
        <v>0</v>
      </c>
      <c r="I5" s="79">
        <f>'QD02'!$P$9</f>
        <v>0</v>
      </c>
      <c r="J5" s="100" t="str">
        <f>IFERROR(VLOOKUP(G5,Dados!$T$2:$W$19,2,FALSE),"")</f>
        <v/>
      </c>
      <c r="K5" s="78">
        <v>1</v>
      </c>
      <c r="L5" s="80" t="s">
        <v>18</v>
      </c>
      <c r="M5" s="80">
        <f>'QD02'!$O$13</f>
        <v>0</v>
      </c>
      <c r="N5" s="264" t="str">
        <f t="shared" ref="N5:N7" si="0">IFERROR(E5*M5*J5/D5/K5/1000,"")</f>
        <v/>
      </c>
    </row>
    <row r="6" spans="1:14">
      <c r="A6" s="77" t="s">
        <v>20</v>
      </c>
      <c r="B6" s="97"/>
      <c r="C6" s="77">
        <f>'QD03'!$L$5</f>
        <v>0</v>
      </c>
      <c r="D6" s="78">
        <f>'QD03'!$G$4</f>
        <v>380</v>
      </c>
      <c r="E6" s="81" t="str">
        <f>IFERROR('QD03'!$I$7,"")</f>
        <v/>
      </c>
      <c r="F6" s="78">
        <f>'QD03'!$I$5</f>
        <v>0</v>
      </c>
      <c r="G6" s="78">
        <f>'QD03'!$P$5</f>
        <v>0</v>
      </c>
      <c r="H6" s="78">
        <f>'QD03'!$P$7</f>
        <v>0</v>
      </c>
      <c r="I6" s="79">
        <f>'QD03'!$P$9</f>
        <v>0</v>
      </c>
      <c r="J6" s="100" t="str">
        <f>IFERROR(VLOOKUP(G6,Dados!$T$2:$W$19,2,FALSE),"")</f>
        <v/>
      </c>
      <c r="K6" s="78">
        <v>1</v>
      </c>
      <c r="L6" s="80" t="s">
        <v>18</v>
      </c>
      <c r="M6" s="80">
        <f>'QD03'!$O$13</f>
        <v>0</v>
      </c>
      <c r="N6" s="264" t="str">
        <f t="shared" si="0"/>
        <v/>
      </c>
    </row>
    <row r="7" spans="1:14">
      <c r="A7" s="77" t="s">
        <v>21</v>
      </c>
      <c r="B7" s="97"/>
      <c r="C7" s="77">
        <f>'QD04'!$L$5</f>
        <v>0</v>
      </c>
      <c r="D7" s="78">
        <f>'QD04'!$G$4</f>
        <v>380</v>
      </c>
      <c r="E7" s="81" t="str">
        <f>IFERROR('QD04'!$I$7,"")</f>
        <v/>
      </c>
      <c r="F7" s="78">
        <f>'QD04'!$I$5</f>
        <v>0</v>
      </c>
      <c r="G7" s="78">
        <f>'QD04'!$P$5</f>
        <v>0</v>
      </c>
      <c r="H7" s="78">
        <f>'QD04'!$P$7</f>
        <v>0</v>
      </c>
      <c r="I7" s="79">
        <f>'QD04'!$P$9</f>
        <v>0</v>
      </c>
      <c r="J7" s="100" t="str">
        <f>IFERROR(VLOOKUP(G7,Dados!$T$2:$W$19,2,FALSE),"")</f>
        <v/>
      </c>
      <c r="K7" s="78">
        <v>1</v>
      </c>
      <c r="L7" s="80" t="s">
        <v>18</v>
      </c>
      <c r="M7" s="80">
        <f>'QD04'!$O$13</f>
        <v>0</v>
      </c>
      <c r="N7" s="264" t="str">
        <f t="shared" si="0"/>
        <v/>
      </c>
    </row>
    <row r="8" spans="1:14">
      <c r="A8" s="77" t="s">
        <v>22</v>
      </c>
      <c r="B8" s="77"/>
      <c r="C8" s="77"/>
      <c r="D8" s="78"/>
      <c r="E8" s="78"/>
      <c r="F8" s="78"/>
      <c r="G8" s="78"/>
      <c r="H8" s="78"/>
      <c r="I8" s="79"/>
      <c r="J8" s="78"/>
      <c r="K8" s="78"/>
      <c r="L8" s="80"/>
      <c r="M8" s="80"/>
      <c r="N8" s="78"/>
    </row>
    <row r="9" spans="1:14">
      <c r="A9" s="77" t="s">
        <v>23</v>
      </c>
      <c r="B9" s="77"/>
      <c r="C9" s="77"/>
      <c r="D9" s="78"/>
      <c r="E9" s="78"/>
      <c r="F9" s="78"/>
      <c r="G9" s="78"/>
      <c r="H9" s="78"/>
      <c r="I9" s="79"/>
      <c r="J9" s="78"/>
      <c r="K9" s="78"/>
      <c r="L9" s="80"/>
      <c r="M9" s="80"/>
      <c r="N9" s="78"/>
    </row>
    <row r="10" spans="1:14">
      <c r="A10" s="77" t="s">
        <v>24</v>
      </c>
      <c r="B10" s="77"/>
      <c r="C10" s="77"/>
      <c r="D10" s="78"/>
      <c r="E10" s="78"/>
      <c r="F10" s="78"/>
      <c r="G10" s="78"/>
      <c r="H10" s="78"/>
      <c r="I10" s="79"/>
      <c r="J10" s="78"/>
      <c r="K10" s="78"/>
      <c r="L10" s="80"/>
      <c r="M10" s="80"/>
      <c r="N10" s="78"/>
    </row>
    <row r="11" spans="1:14">
      <c r="A11" s="77"/>
      <c r="B11" s="77"/>
      <c r="C11" s="77"/>
      <c r="D11" s="78"/>
      <c r="E11" s="78"/>
      <c r="F11" s="78"/>
      <c r="G11" s="78"/>
      <c r="H11" s="78"/>
      <c r="I11" s="79"/>
      <c r="J11" s="78"/>
      <c r="K11" s="78"/>
      <c r="L11" s="80"/>
      <c r="M11" s="80"/>
      <c r="N11" s="78"/>
    </row>
    <row r="12" spans="1:14">
      <c r="A12" s="77"/>
      <c r="B12" s="77"/>
      <c r="C12" s="77"/>
      <c r="D12" s="78"/>
      <c r="E12" s="78"/>
      <c r="F12" s="78"/>
      <c r="G12" s="78"/>
      <c r="H12" s="78"/>
      <c r="I12" s="79"/>
      <c r="J12" s="78"/>
      <c r="K12" s="78"/>
      <c r="L12" s="80"/>
      <c r="M12" s="80"/>
      <c r="N12" s="78"/>
    </row>
    <row r="13" spans="1:14">
      <c r="A13" s="77"/>
      <c r="B13" s="77"/>
      <c r="C13" s="77"/>
      <c r="D13" s="78"/>
      <c r="E13" s="78"/>
      <c r="F13" s="78"/>
      <c r="G13" s="78"/>
      <c r="H13" s="78"/>
      <c r="I13" s="79"/>
      <c r="J13" s="78"/>
      <c r="K13" s="78"/>
      <c r="L13" s="80"/>
      <c r="M13" s="80"/>
      <c r="N13" s="78"/>
    </row>
  </sheetData>
  <mergeCells count="13">
    <mergeCell ref="L2:L3"/>
    <mergeCell ref="M2:M3"/>
    <mergeCell ref="N2:N3"/>
    <mergeCell ref="A1:N1"/>
    <mergeCell ref="A2:A3"/>
    <mergeCell ref="B2:B3"/>
    <mergeCell ref="C2:C3"/>
    <mergeCell ref="D2:D3"/>
    <mergeCell ref="E2:E3"/>
    <mergeCell ref="F2:F3"/>
    <mergeCell ref="G2:I2"/>
    <mergeCell ref="J2:J3"/>
    <mergeCell ref="K2:K3"/>
  </mergeCells>
  <pageMargins left="0.511811024" right="0.511811024" top="0.78740157499999996" bottom="0.78740157499999996" header="0.31496062000000002" footer="0.31496062000000002"/>
  <pageSetup paperSize="9" scale="79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tabColor rgb="FFFF9900"/>
    <pageSetUpPr fitToPage="1"/>
  </sheetPr>
  <dimension ref="A1:AK90"/>
  <sheetViews>
    <sheetView tabSelected="1" topLeftCell="A57" zoomScaleNormal="100" zoomScaleSheetLayoutView="82" workbookViewId="0">
      <selection activeCell="A31" sqref="A31:XFD77"/>
    </sheetView>
  </sheetViews>
  <sheetFormatPr defaultRowHeight="12.75" outlineLevelCol="2"/>
  <cols>
    <col min="1" max="3" width="2.5703125" style="10" customWidth="1"/>
    <col min="4" max="4" width="11.7109375" style="10" hidden="1" customWidth="1"/>
    <col min="5" max="5" width="11.7109375" style="10" customWidth="1"/>
    <col min="6" max="6" width="33.42578125" style="10" customWidth="1"/>
    <col min="7" max="7" width="12.42578125" style="10" customWidth="1"/>
    <col min="8" max="8" width="2.28515625" style="10" hidden="1" customWidth="1"/>
    <col min="9" max="9" width="11.7109375" style="10" customWidth="1"/>
    <col min="10" max="10" width="12.7109375" style="10" customWidth="1"/>
    <col min="11" max="11" width="8.140625" style="10" customWidth="1"/>
    <col min="12" max="14" width="10" style="10" customWidth="1"/>
    <col min="15" max="15" width="10.5703125" style="10" customWidth="1"/>
    <col min="16" max="16" width="12.7109375" style="10" customWidth="1"/>
    <col min="17" max="17" width="11.140625" style="10" customWidth="1"/>
    <col min="18" max="18" width="18" style="10" bestFit="1" customWidth="1"/>
    <col min="19" max="20" width="12.7109375" style="10" customWidth="1"/>
    <col min="21" max="23" width="12.7109375" style="10" customWidth="1" outlineLevel="1"/>
    <col min="24" max="24" width="9.140625" style="10" customWidth="1" outlineLevel="2"/>
    <col min="25" max="25" width="69.5703125" style="10" customWidth="1" outlineLevel="2"/>
    <col min="26" max="26" width="12.5703125" style="10" customWidth="1" outlineLevel="2"/>
    <col min="27" max="27" width="9.140625" style="10" customWidth="1" outlineLevel="1"/>
    <col min="28" max="28" width="12.28515625" style="10" customWidth="1"/>
    <col min="29" max="29" width="12.7109375" style="10" customWidth="1"/>
    <col min="30" max="33" width="12.7109375" style="10" customWidth="1" outlineLevel="1"/>
    <col min="34" max="37" width="9.140625" style="10" customWidth="1" outlineLevel="1"/>
    <col min="38" max="16384" width="9.140625" style="10"/>
  </cols>
  <sheetData>
    <row r="1" spans="1:36" ht="13.5" thickBot="1">
      <c r="E1" s="211" t="str">
        <f>CONCATENATE("VEM DO QUADRO ",INDEX(ALIMENTADORES!$1:$1048576,MATCH(NOME_DO_QUADRO,ALIMENTADORES!C:C,0),2))</f>
        <v>VEM DO QUADRO MEDIÇÃO</v>
      </c>
      <c r="F1" s="212"/>
    </row>
    <row r="2" spans="1:36">
      <c r="L2" s="265" t="s">
        <v>25</v>
      </c>
      <c r="M2" s="172"/>
    </row>
    <row r="3" spans="1:36" ht="13.5" thickBot="1">
      <c r="L3" s="173"/>
      <c r="M3" s="173"/>
      <c r="N3" s="98" t="str">
        <f>VLOOKUP($L$5,ALIMENTADORES!$C$4:$N$13,12,FALSE)</f>
        <v/>
      </c>
    </row>
    <row r="4" spans="1:36" ht="17.25" customHeight="1">
      <c r="A4" s="227" t="s">
        <v>26</v>
      </c>
      <c r="B4" s="228"/>
      <c r="C4" s="228"/>
      <c r="D4" s="229"/>
      <c r="E4" s="187" t="s">
        <v>27</v>
      </c>
      <c r="F4" s="266" t="s">
        <v>28</v>
      </c>
      <c r="G4" s="236">
        <v>380</v>
      </c>
      <c r="H4" s="11">
        <f>IF(I4="F+N",G4,G4/SQRT(3))</f>
        <v>219.39310229205779</v>
      </c>
      <c r="I4" s="238" t="s">
        <v>29</v>
      </c>
      <c r="J4" s="239"/>
      <c r="K4" s="187" t="s">
        <v>30</v>
      </c>
      <c r="L4" s="214" t="s">
        <v>31</v>
      </c>
      <c r="M4" s="215"/>
      <c r="N4" s="187" t="s">
        <v>32</v>
      </c>
      <c r="O4" s="12" t="s">
        <v>33</v>
      </c>
      <c r="P4" s="267" t="s">
        <v>34</v>
      </c>
      <c r="Q4" s="187" t="s">
        <v>35</v>
      </c>
      <c r="R4" s="198" t="s">
        <v>36</v>
      </c>
      <c r="S4" s="190" t="s">
        <v>37</v>
      </c>
      <c r="T4" s="191">
        <v>54</v>
      </c>
    </row>
    <row r="5" spans="1:36" ht="15.75" customHeight="1">
      <c r="A5" s="230"/>
      <c r="B5" s="231"/>
      <c r="C5" s="231"/>
      <c r="D5" s="232"/>
      <c r="E5" s="188"/>
      <c r="F5" s="13" t="s">
        <v>38</v>
      </c>
      <c r="G5" s="237"/>
      <c r="H5" s="14"/>
      <c r="I5" s="240">
        <v>100</v>
      </c>
      <c r="J5" s="241"/>
      <c r="K5" s="188"/>
      <c r="L5" s="204" t="s">
        <v>39</v>
      </c>
      <c r="M5" s="205"/>
      <c r="N5" s="188"/>
      <c r="O5" s="15">
        <v>3</v>
      </c>
      <c r="P5" s="16"/>
      <c r="Q5" s="188"/>
      <c r="R5" s="203"/>
      <c r="S5" s="185"/>
      <c r="T5" s="186"/>
    </row>
    <row r="6" spans="1:36" ht="15" customHeight="1" thickBot="1">
      <c r="A6" s="230"/>
      <c r="B6" s="231"/>
      <c r="C6" s="231"/>
      <c r="D6" s="232"/>
      <c r="E6" s="188"/>
      <c r="F6" s="17"/>
      <c r="G6" s="18"/>
      <c r="H6" s="18"/>
      <c r="I6" s="18"/>
      <c r="J6" s="19"/>
      <c r="K6" s="188"/>
      <c r="L6" s="204"/>
      <c r="M6" s="205"/>
      <c r="N6" s="188"/>
      <c r="O6" s="20" t="s">
        <v>33</v>
      </c>
      <c r="P6" s="268" t="s">
        <v>40</v>
      </c>
      <c r="Q6" s="188"/>
      <c r="R6" s="203"/>
      <c r="S6" s="185" t="s">
        <v>41</v>
      </c>
      <c r="T6" s="216" t="s">
        <v>42</v>
      </c>
      <c r="U6" s="210" t="s">
        <v>43</v>
      </c>
      <c r="V6" s="210" t="s">
        <v>44</v>
      </c>
      <c r="W6" s="210"/>
    </row>
    <row r="7" spans="1:36" ht="13.5" customHeight="1">
      <c r="A7" s="230"/>
      <c r="B7" s="231"/>
      <c r="C7" s="231"/>
      <c r="D7" s="232"/>
      <c r="E7" s="188"/>
      <c r="F7" s="21" t="s">
        <v>45</v>
      </c>
      <c r="G7" s="40"/>
      <c r="I7" s="242">
        <f>(MAX(L79:N79)*IF(I4="3F",3,IF(I4="2F",2,IF(I4="F+N",1)))*G10+I9)/G4/IF(I4="3F",SQRT(3),1)</f>
        <v>38.743241748251208</v>
      </c>
      <c r="J7" s="243"/>
      <c r="K7" s="188"/>
      <c r="L7" s="206"/>
      <c r="M7" s="207"/>
      <c r="N7" s="188"/>
      <c r="O7" s="15">
        <v>1</v>
      </c>
      <c r="P7" s="16"/>
      <c r="Q7" s="188"/>
      <c r="R7" s="217" t="s">
        <v>46</v>
      </c>
      <c r="S7" s="185"/>
      <c r="T7" s="216"/>
      <c r="U7" s="210"/>
      <c r="V7" s="210"/>
      <c r="W7" s="210"/>
    </row>
    <row r="8" spans="1:36">
      <c r="A8" s="230"/>
      <c r="B8" s="231"/>
      <c r="C8" s="231"/>
      <c r="D8" s="232"/>
      <c r="E8" s="188"/>
      <c r="F8" s="22" t="s">
        <v>47</v>
      </c>
      <c r="G8" s="46"/>
      <c r="H8" s="47"/>
      <c r="I8" s="225">
        <f>SUM(I9:J10)</f>
        <v>16700</v>
      </c>
      <c r="J8" s="226"/>
      <c r="K8" s="188"/>
      <c r="L8" s="201" t="s">
        <v>48</v>
      </c>
      <c r="M8" s="202"/>
      <c r="N8" s="188"/>
      <c r="O8" s="20" t="s">
        <v>33</v>
      </c>
      <c r="P8" s="268" t="s">
        <v>49</v>
      </c>
      <c r="Q8" s="188"/>
      <c r="R8" s="217"/>
      <c r="S8" s="185" t="s">
        <v>50</v>
      </c>
      <c r="T8" s="186" t="s">
        <v>51</v>
      </c>
      <c r="AB8" s="23"/>
    </row>
    <row r="9" spans="1:36" ht="12.75" customHeight="1">
      <c r="A9" s="230"/>
      <c r="B9" s="231"/>
      <c r="C9" s="231"/>
      <c r="D9" s="232"/>
      <c r="E9" s="188"/>
      <c r="F9" s="22" t="s">
        <v>52</v>
      </c>
      <c r="G9" s="48"/>
      <c r="H9" s="47"/>
      <c r="I9" s="225">
        <f>I10*G9</f>
        <v>0</v>
      </c>
      <c r="J9" s="226"/>
      <c r="K9" s="188"/>
      <c r="L9" s="181" t="s">
        <v>53</v>
      </c>
      <c r="M9" s="182"/>
      <c r="N9" s="188"/>
      <c r="O9" s="15">
        <v>1</v>
      </c>
      <c r="P9" s="16"/>
      <c r="Q9" s="188"/>
      <c r="R9" s="217"/>
      <c r="S9" s="185"/>
      <c r="T9" s="186"/>
      <c r="AB9" s="269"/>
    </row>
    <row r="10" spans="1:36" ht="13.5" customHeight="1" thickBot="1">
      <c r="A10" s="230"/>
      <c r="B10" s="231"/>
      <c r="C10" s="231"/>
      <c r="D10" s="232"/>
      <c r="E10" s="188"/>
      <c r="F10" s="22" t="s">
        <v>54</v>
      </c>
      <c r="G10" s="48">
        <f>AC79</f>
        <v>1</v>
      </c>
      <c r="H10" s="47"/>
      <c r="I10" s="225">
        <f>I11*G10</f>
        <v>16700</v>
      </c>
      <c r="J10" s="226"/>
      <c r="K10" s="188"/>
      <c r="L10" s="181"/>
      <c r="M10" s="182"/>
      <c r="N10" s="188"/>
      <c r="O10" s="185" t="s">
        <v>55</v>
      </c>
      <c r="P10" s="186"/>
      <c r="Q10" s="188"/>
      <c r="R10" s="217"/>
      <c r="S10" s="185" t="s">
        <v>56</v>
      </c>
      <c r="T10" s="186" t="s">
        <v>57</v>
      </c>
    </row>
    <row r="11" spans="1:36" ht="15">
      <c r="A11" s="230"/>
      <c r="B11" s="231"/>
      <c r="C11" s="231"/>
      <c r="D11" s="232"/>
      <c r="E11" s="188"/>
      <c r="F11" s="22" t="s">
        <v>58</v>
      </c>
      <c r="G11" s="46"/>
      <c r="H11" s="47"/>
      <c r="I11" s="225">
        <f>SUM(I18:I77)</f>
        <v>16700</v>
      </c>
      <c r="J11" s="226"/>
      <c r="K11" s="188"/>
      <c r="L11" s="201" t="s">
        <v>59</v>
      </c>
      <c r="M11" s="202"/>
      <c r="N11" s="188"/>
      <c r="O11" s="192" t="s">
        <v>60</v>
      </c>
      <c r="P11" s="193"/>
      <c r="Q11" s="188"/>
      <c r="R11" s="217"/>
      <c r="S11" s="185"/>
      <c r="T11" s="186"/>
    </row>
    <row r="12" spans="1:36">
      <c r="A12" s="230"/>
      <c r="B12" s="231"/>
      <c r="C12" s="231"/>
      <c r="D12" s="232"/>
      <c r="E12" s="188"/>
      <c r="F12" s="22" t="s">
        <v>61</v>
      </c>
      <c r="G12" s="46"/>
      <c r="H12" s="47"/>
      <c r="I12" s="221">
        <f>AVERAGE(L79:N79)/MAX(L79:N79)</f>
        <v>0.65490196078431373</v>
      </c>
      <c r="J12" s="222"/>
      <c r="K12" s="188"/>
      <c r="L12" s="181" t="s">
        <v>62</v>
      </c>
      <c r="M12" s="182"/>
      <c r="N12" s="188"/>
      <c r="O12" s="185" t="s">
        <v>63</v>
      </c>
      <c r="P12" s="186"/>
      <c r="Q12" s="188"/>
      <c r="R12" s="217"/>
      <c r="S12" s="185" t="s">
        <v>64</v>
      </c>
      <c r="T12" s="186" t="s">
        <v>65</v>
      </c>
    </row>
    <row r="13" spans="1:36" ht="13.5" thickBot="1">
      <c r="A13" s="230"/>
      <c r="B13" s="231"/>
      <c r="C13" s="231"/>
      <c r="D13" s="232"/>
      <c r="E13" s="189"/>
      <c r="F13" s="24" t="s">
        <v>66</v>
      </c>
      <c r="G13" s="49"/>
      <c r="H13" s="14"/>
      <c r="I13" s="223">
        <f>SUM($J79)/SUM($L79:$N79)</f>
        <v>0.92</v>
      </c>
      <c r="J13" s="224"/>
      <c r="K13" s="189"/>
      <c r="L13" s="183"/>
      <c r="M13" s="184"/>
      <c r="N13" s="189"/>
      <c r="O13" s="25">
        <v>50</v>
      </c>
      <c r="P13" s="26" t="s">
        <v>67</v>
      </c>
      <c r="Q13" s="189"/>
      <c r="R13" s="218"/>
      <c r="S13" s="219"/>
      <c r="T13" s="220"/>
    </row>
    <row r="14" spans="1:36" ht="13.5" thickBot="1">
      <c r="A14" s="230"/>
      <c r="B14" s="231"/>
      <c r="C14" s="231"/>
      <c r="D14" s="232"/>
      <c r="T14" s="27"/>
    </row>
    <row r="15" spans="1:36" ht="13.5" hidden="1" customHeight="1">
      <c r="A15" s="233"/>
      <c r="B15" s="234"/>
      <c r="C15" s="234"/>
      <c r="D15" s="235"/>
      <c r="G15" s="244" t="s">
        <v>68</v>
      </c>
      <c r="H15" s="244"/>
      <c r="I15" s="244"/>
      <c r="J15" s="244"/>
      <c r="K15" s="244"/>
      <c r="L15" s="28" t="e">
        <f>#REF!</f>
        <v>#REF!</v>
      </c>
      <c r="M15" s="28" t="e">
        <f>#REF!</f>
        <v>#REF!</v>
      </c>
      <c r="N15" s="28" t="e">
        <f>#REF!</f>
        <v>#REF!</v>
      </c>
      <c r="O15" s="244" t="s">
        <v>69</v>
      </c>
      <c r="P15" s="244"/>
      <c r="Q15" s="244"/>
      <c r="R15" s="244"/>
      <c r="S15" s="244"/>
      <c r="T15" s="245"/>
    </row>
    <row r="16" spans="1:36" ht="13.5" customHeight="1" thickBot="1">
      <c r="A16" s="246" t="s">
        <v>70</v>
      </c>
      <c r="B16" s="194" t="s">
        <v>71</v>
      </c>
      <c r="C16" s="194" t="s">
        <v>72</v>
      </c>
      <c r="D16" s="29"/>
      <c r="E16" s="196" t="s">
        <v>73</v>
      </c>
      <c r="F16" s="198" t="s">
        <v>74</v>
      </c>
      <c r="G16" s="171" t="s">
        <v>75</v>
      </c>
      <c r="H16" s="30"/>
      <c r="I16" s="174" t="s">
        <v>76</v>
      </c>
      <c r="J16" s="174"/>
      <c r="K16" s="30"/>
      <c r="L16" s="174" t="s">
        <v>77</v>
      </c>
      <c r="M16" s="174"/>
      <c r="N16" s="174"/>
      <c r="O16" s="200" t="s">
        <v>78</v>
      </c>
      <c r="P16" s="175" t="s">
        <v>79</v>
      </c>
      <c r="Q16" s="200" t="s">
        <v>80</v>
      </c>
      <c r="R16" s="171" t="s">
        <v>81</v>
      </c>
      <c r="S16" s="171" t="s">
        <v>82</v>
      </c>
      <c r="T16" s="208" t="s">
        <v>83</v>
      </c>
      <c r="U16" s="208" t="s">
        <v>84</v>
      </c>
      <c r="V16" s="209"/>
      <c r="W16" s="170"/>
      <c r="X16" s="208" t="s">
        <v>85</v>
      </c>
      <c r="Y16" s="209"/>
      <c r="Z16" s="170"/>
      <c r="AA16" s="177" t="s">
        <v>86</v>
      </c>
      <c r="AB16" s="179" t="s">
        <v>87</v>
      </c>
      <c r="AC16" s="175" t="s">
        <v>88</v>
      </c>
      <c r="AD16" s="175" t="s">
        <v>89</v>
      </c>
      <c r="AE16" s="174" t="s">
        <v>90</v>
      </c>
      <c r="AF16" s="174"/>
      <c r="AG16" s="174"/>
      <c r="AH16" s="170" t="s">
        <v>91</v>
      </c>
      <c r="AI16" s="170" t="s">
        <v>8</v>
      </c>
      <c r="AJ16" s="171" t="s">
        <v>9</v>
      </c>
    </row>
    <row r="17" spans="1:36" ht="13.5" thickBot="1">
      <c r="A17" s="247"/>
      <c r="B17" s="195"/>
      <c r="C17" s="195"/>
      <c r="D17" s="31"/>
      <c r="E17" s="197"/>
      <c r="F17" s="199"/>
      <c r="G17" s="171"/>
      <c r="H17" s="32" t="s">
        <v>92</v>
      </c>
      <c r="I17" s="32" t="s">
        <v>93</v>
      </c>
      <c r="J17" s="32" t="s">
        <v>92</v>
      </c>
      <c r="K17" s="32" t="s">
        <v>94</v>
      </c>
      <c r="L17" s="32" t="s">
        <v>70</v>
      </c>
      <c r="M17" s="32" t="s">
        <v>71</v>
      </c>
      <c r="N17" s="32" t="s">
        <v>72</v>
      </c>
      <c r="O17" s="200"/>
      <c r="P17" s="176"/>
      <c r="Q17" s="200"/>
      <c r="R17" s="171"/>
      <c r="S17" s="171"/>
      <c r="T17" s="208"/>
      <c r="U17" s="32" t="s">
        <v>95</v>
      </c>
      <c r="V17" s="33" t="s">
        <v>96</v>
      </c>
      <c r="W17" s="33" t="s">
        <v>97</v>
      </c>
      <c r="X17" s="32" t="s">
        <v>98</v>
      </c>
      <c r="Y17" s="33" t="s">
        <v>99</v>
      </c>
      <c r="Z17" s="33" t="s">
        <v>100</v>
      </c>
      <c r="AA17" s="178"/>
      <c r="AB17" s="180"/>
      <c r="AC17" s="176"/>
      <c r="AD17" s="176"/>
      <c r="AE17" s="32" t="s">
        <v>70</v>
      </c>
      <c r="AF17" s="32" t="s">
        <v>71</v>
      </c>
      <c r="AG17" s="32" t="s">
        <v>72</v>
      </c>
      <c r="AH17" s="170"/>
      <c r="AI17" s="170"/>
      <c r="AJ17" s="171"/>
    </row>
    <row r="18" spans="1:36" ht="13.5" hidden="1" customHeight="1" thickBot="1">
      <c r="A18" s="43" t="s">
        <v>101</v>
      </c>
      <c r="B18" s="43" t="s">
        <v>102</v>
      </c>
      <c r="C18" s="43" t="s">
        <v>103</v>
      </c>
      <c r="D18" s="43" t="s">
        <v>104</v>
      </c>
      <c r="E18" s="44" t="s">
        <v>105</v>
      </c>
      <c r="F18" s="44" t="s">
        <v>106</v>
      </c>
      <c r="G18" s="44" t="s">
        <v>107</v>
      </c>
      <c r="H18" s="44" t="s">
        <v>108</v>
      </c>
      <c r="I18" s="45" t="s">
        <v>109</v>
      </c>
      <c r="J18" s="35" t="s">
        <v>110</v>
      </c>
      <c r="K18" s="36" t="s">
        <v>111</v>
      </c>
      <c r="L18" s="34" t="s">
        <v>112</v>
      </c>
      <c r="M18" s="34" t="s">
        <v>113</v>
      </c>
      <c r="N18" s="34" t="s">
        <v>114</v>
      </c>
      <c r="O18" s="36" t="s">
        <v>115</v>
      </c>
      <c r="P18" s="36" t="s">
        <v>116</v>
      </c>
      <c r="Q18" s="36" t="s">
        <v>117</v>
      </c>
      <c r="R18" s="36" t="s">
        <v>118</v>
      </c>
      <c r="S18" s="37" t="s">
        <v>119</v>
      </c>
      <c r="T18" s="36" t="s">
        <v>120</v>
      </c>
      <c r="U18" s="142" t="s">
        <v>121</v>
      </c>
      <c r="V18" s="50" t="s">
        <v>122</v>
      </c>
      <c r="W18" s="139" t="s">
        <v>123</v>
      </c>
      <c r="X18" s="138" t="s">
        <v>124</v>
      </c>
      <c r="Y18" s="136" t="s">
        <v>125</v>
      </c>
      <c r="Z18" s="139" t="s">
        <v>126</v>
      </c>
      <c r="AA18" s="38" t="s">
        <v>127</v>
      </c>
      <c r="AB18" s="84" t="s">
        <v>128</v>
      </c>
      <c r="AC18" s="39" t="s">
        <v>129</v>
      </c>
      <c r="AD18" s="82" t="s">
        <v>130</v>
      </c>
      <c r="AE18" s="36" t="s">
        <v>131</v>
      </c>
      <c r="AF18" s="36" t="s">
        <v>132</v>
      </c>
      <c r="AG18" s="36" t="s">
        <v>133</v>
      </c>
      <c r="AH18" s="86"/>
      <c r="AI18" s="87"/>
      <c r="AJ18" s="88"/>
    </row>
    <row r="19" spans="1:36" customFormat="1">
      <c r="A19" s="52" t="s">
        <v>134</v>
      </c>
      <c r="B19" s="52"/>
      <c r="C19" s="52"/>
      <c r="D19" s="52"/>
      <c r="E19" s="53" t="s">
        <v>135</v>
      </c>
      <c r="F19" s="53" t="s">
        <v>136</v>
      </c>
      <c r="G19" s="53" t="s">
        <v>137</v>
      </c>
      <c r="H19" s="53"/>
      <c r="I19" s="54">
        <v>800</v>
      </c>
      <c r="J19" s="55">
        <f t="shared" ref="J19:J20" si="0">I19*K19</f>
        <v>736</v>
      </c>
      <c r="K19" s="56">
        <v>0.92</v>
      </c>
      <c r="L19" s="57">
        <f t="shared" ref="L19:L20" si="1">IF(A19="",0,$I19/COUNTA(A19:C19))</f>
        <v>800</v>
      </c>
      <c r="M19" s="57">
        <f t="shared" ref="M19:M20" si="2">IF(B19="",0,$I19/COUNTA(A19:C19))</f>
        <v>0</v>
      </c>
      <c r="N19" s="57">
        <f t="shared" ref="N19:N20" si="3">IF(C19="",0,$I19/COUNTA(A19:C19))</f>
        <v>0</v>
      </c>
      <c r="O19" s="56">
        <v>16</v>
      </c>
      <c r="P19" s="56" t="s">
        <v>138</v>
      </c>
      <c r="Q19" s="56">
        <f>IF(R19="PVC",VLOOKUP(O19,Dados!C$3:D$19,2),IF(R19="EPR",VLOOKUP(O19,Dados!C$22:D$38,2)))</f>
        <v>2.5</v>
      </c>
      <c r="R19" s="56" t="s">
        <v>139</v>
      </c>
      <c r="S19" s="51">
        <f>IF(G19="F+N",I19/H$4,IF(G19="2F",I19/G$4, IF(G19="3F",I19/G$4/SQRT(3))))</f>
        <v>3.6464227527765836</v>
      </c>
      <c r="T19" s="56">
        <f>IF(R19="PVC",VLOOKUP(Q19,Dados!L$3:M$18,2),IF(R19="EPR",VLOOKUP(Q19,Dados!L$3:N$18,3)))</f>
        <v>21</v>
      </c>
      <c r="U19" s="143" t="s">
        <v>140</v>
      </c>
      <c r="V19" s="58"/>
      <c r="W19" s="144"/>
      <c r="X19" s="140"/>
      <c r="Y19" s="137"/>
      <c r="Z19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3.6464227527765836</v>
      </c>
      <c r="AA19" s="85"/>
      <c r="AB19" s="101">
        <f t="shared" ref="AB19:AB50" si="4">S19*AA19*AI19/AH19/AJ19/1000</f>
        <v>0</v>
      </c>
      <c r="AC19" s="60">
        <v>1</v>
      </c>
      <c r="AD19" s="51">
        <f t="shared" ref="AD19:AD50" si="5">IF(G19="F+N",I19/H$4,IF(G19="2F",I19/G$4, IF(G19="3F",I19/G$4/SQRT(3))))*AC19</f>
        <v>3.6464227527765836</v>
      </c>
      <c r="AE19" s="56">
        <f t="shared" ref="AE19:AE50" si="6">IF(A19="",0,$I19/COUNTA(A19:C19)*$AC19)</f>
        <v>800</v>
      </c>
      <c r="AF19" s="56">
        <f t="shared" ref="AF19:AF50" si="7">IF(B19="",0,$I19/COUNTA(A19:C19)*$AC19)</f>
        <v>0</v>
      </c>
      <c r="AG19" s="56">
        <f t="shared" ref="AG19:AG50" si="8">IF(C19="",0,$I19/COUNTA(A19:C19)*$AC19)</f>
        <v>0</v>
      </c>
      <c r="AH19" s="89">
        <f t="shared" ref="AH19:AH50" si="9">IF(G19="3F",$G$4,IF(G19="2F",$G$4,IF(G19="F+N",$H$4)))</f>
        <v>219.39310229205779</v>
      </c>
      <c r="AI19" s="90">
        <f>VLOOKUP(Q19,Dados!$T$4:$U$19,2,FALSE)</f>
        <v>15</v>
      </c>
      <c r="AJ19" s="91">
        <v>1</v>
      </c>
    </row>
    <row r="20" spans="1:36" customFormat="1">
      <c r="A20" s="61"/>
      <c r="B20" s="52" t="s">
        <v>134</v>
      </c>
      <c r="C20" s="52"/>
      <c r="D20" s="52"/>
      <c r="E20" s="53" t="s">
        <v>141</v>
      </c>
      <c r="F20" s="53" t="s">
        <v>136</v>
      </c>
      <c r="G20" s="53" t="s">
        <v>137</v>
      </c>
      <c r="H20" s="53"/>
      <c r="I20" s="54">
        <v>600</v>
      </c>
      <c r="J20" s="55">
        <f t="shared" si="0"/>
        <v>552</v>
      </c>
      <c r="K20" s="56">
        <v>0.92</v>
      </c>
      <c r="L20" s="57">
        <f t="shared" si="1"/>
        <v>0</v>
      </c>
      <c r="M20" s="57">
        <f t="shared" si="2"/>
        <v>600</v>
      </c>
      <c r="N20" s="57">
        <f t="shared" si="3"/>
        <v>0</v>
      </c>
      <c r="O20" s="56">
        <v>16</v>
      </c>
      <c r="P20" s="56" t="s">
        <v>138</v>
      </c>
      <c r="Q20" s="56">
        <f>IF(R20="PVC",VLOOKUP(O20,Dados!C$3:D$19,2),IF(R20="EPR",VLOOKUP(O20,Dados!C$22:D$38,2)))</f>
        <v>2.5</v>
      </c>
      <c r="R20" s="56" t="s">
        <v>139</v>
      </c>
      <c r="S20" s="51">
        <f t="shared" ref="S20:S77" si="10">IF(G20="F+N",I20/H$4,IF(G20="2F",I20/G$4, IF(G20="3F",I20/G$4/SQRT(3))))</f>
        <v>2.7348170645824377</v>
      </c>
      <c r="T20" s="56">
        <f>IF(R20="PVC",VLOOKUP(Q20,Dados!L$3:M$18,2),IF(R20="EPR",VLOOKUP(Q20,Dados!L$3:N$18,3)))</f>
        <v>21</v>
      </c>
      <c r="U20" s="143" t="s">
        <v>140</v>
      </c>
      <c r="V20" s="62"/>
      <c r="W20" s="145"/>
      <c r="X20" s="140"/>
      <c r="Y20" s="137"/>
      <c r="Z20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2.7348170645824377</v>
      </c>
      <c r="AA20" s="63"/>
      <c r="AB20" s="101">
        <f t="shared" si="4"/>
        <v>0</v>
      </c>
      <c r="AC20" s="60">
        <v>1</v>
      </c>
      <c r="AD20" s="51">
        <f t="shared" si="5"/>
        <v>2.7348170645824377</v>
      </c>
      <c r="AE20" s="56">
        <f t="shared" si="6"/>
        <v>0</v>
      </c>
      <c r="AF20" s="56">
        <f t="shared" si="7"/>
        <v>600</v>
      </c>
      <c r="AG20" s="56">
        <f t="shared" si="8"/>
        <v>0</v>
      </c>
      <c r="AH20" s="89">
        <f t="shared" si="9"/>
        <v>219.39310229205779</v>
      </c>
      <c r="AI20" s="90">
        <f>VLOOKUP(Q20,Dados!$T$4:$U$19,2,FALSE)</f>
        <v>15</v>
      </c>
      <c r="AJ20" s="91">
        <v>1</v>
      </c>
    </row>
    <row r="21" spans="1:36" customFormat="1">
      <c r="A21" s="52"/>
      <c r="B21" s="52"/>
      <c r="C21" s="52" t="s">
        <v>134</v>
      </c>
      <c r="D21" s="52"/>
      <c r="E21" s="53" t="s">
        <v>142</v>
      </c>
      <c r="F21" s="53" t="s">
        <v>143</v>
      </c>
      <c r="G21" s="53" t="s">
        <v>137</v>
      </c>
      <c r="H21" s="53"/>
      <c r="I21" s="54">
        <v>200</v>
      </c>
      <c r="J21" s="55">
        <f t="shared" ref="J21:J77" si="11">I21*K21</f>
        <v>184</v>
      </c>
      <c r="K21" s="56">
        <v>0.92</v>
      </c>
      <c r="L21" s="57">
        <f t="shared" ref="L21:L77" si="12">IF(A21="",0,$I21/COUNTA(A21:C21))</f>
        <v>0</v>
      </c>
      <c r="M21" s="57">
        <f t="shared" ref="M21:M77" si="13">IF(B21="",0,$I21/COUNTA(A21:C21))</f>
        <v>0</v>
      </c>
      <c r="N21" s="57">
        <f t="shared" ref="N21:N77" si="14">IF(C21="",0,$I21/COUNTA(A21:C21))</f>
        <v>200</v>
      </c>
      <c r="O21" s="56">
        <v>10</v>
      </c>
      <c r="P21" s="56" t="s">
        <v>138</v>
      </c>
      <c r="Q21" s="56">
        <f>IF(R21="PVC",VLOOKUP(O21,Dados!C$3:D$19,2),IF(R21="EPR",VLOOKUP(O21,Dados!C$22:D$38,2)))</f>
        <v>2.5</v>
      </c>
      <c r="R21" s="56" t="s">
        <v>139</v>
      </c>
      <c r="S21" s="51">
        <f t="shared" si="10"/>
        <v>0.91160568819414589</v>
      </c>
      <c r="T21" s="56">
        <f>IF(R21="PVC",VLOOKUP(Q21,Dados!L$3:M$18,2),IF(R21="EPR",VLOOKUP(Q21,Dados!L$3:N$18,3)))</f>
        <v>21</v>
      </c>
      <c r="U21" s="143" t="s">
        <v>140</v>
      </c>
      <c r="V21" s="62"/>
      <c r="W21" s="145"/>
      <c r="X21" s="140"/>
      <c r="Y21" s="137"/>
      <c r="Z21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0.91160568819414589</v>
      </c>
      <c r="AA21" s="63"/>
      <c r="AB21" s="101">
        <f t="shared" si="4"/>
        <v>0</v>
      </c>
      <c r="AC21" s="60">
        <v>1</v>
      </c>
      <c r="AD21" s="51">
        <f t="shared" si="5"/>
        <v>0.91160568819414589</v>
      </c>
      <c r="AE21" s="56">
        <f t="shared" si="6"/>
        <v>0</v>
      </c>
      <c r="AF21" s="56">
        <f t="shared" si="7"/>
        <v>0</v>
      </c>
      <c r="AG21" s="56">
        <f t="shared" si="8"/>
        <v>200</v>
      </c>
      <c r="AH21" s="89">
        <f t="shared" si="9"/>
        <v>219.39310229205779</v>
      </c>
      <c r="AI21" s="90">
        <f>VLOOKUP(Q21,Dados!$T$4:$U$19,2,FALSE)</f>
        <v>15</v>
      </c>
      <c r="AJ21" s="91">
        <v>1</v>
      </c>
    </row>
    <row r="22" spans="1:36" customFormat="1">
      <c r="A22" s="61" t="s">
        <v>134</v>
      </c>
      <c r="B22" s="52"/>
      <c r="C22" s="52"/>
      <c r="D22" s="52"/>
      <c r="E22" s="53" t="s">
        <v>144</v>
      </c>
      <c r="F22" s="53" t="s">
        <v>145</v>
      </c>
      <c r="G22" s="53" t="s">
        <v>137</v>
      </c>
      <c r="H22" s="53"/>
      <c r="I22" s="54">
        <v>1600</v>
      </c>
      <c r="J22" s="55">
        <f t="shared" si="11"/>
        <v>1472</v>
      </c>
      <c r="K22" s="56">
        <v>0.92</v>
      </c>
      <c r="L22" s="57">
        <f t="shared" si="12"/>
        <v>1600</v>
      </c>
      <c r="M22" s="57">
        <f t="shared" si="13"/>
        <v>0</v>
      </c>
      <c r="N22" s="57">
        <f t="shared" si="14"/>
        <v>0</v>
      </c>
      <c r="O22" s="56">
        <v>20</v>
      </c>
      <c r="P22" s="56" t="s">
        <v>138</v>
      </c>
      <c r="Q22" s="56">
        <f>IF(R22="PVC",VLOOKUP(O22,Dados!C$3:D$19,2),IF(R22="EPR",VLOOKUP(O22,Dados!C$22:D$38,2)))</f>
        <v>4</v>
      </c>
      <c r="R22" s="56" t="s">
        <v>139</v>
      </c>
      <c r="S22" s="51">
        <f t="shared" si="10"/>
        <v>7.2928455055531671</v>
      </c>
      <c r="T22" s="56">
        <f>IF(R22="PVC",VLOOKUP(Q22,Dados!L$3:M$18,2),IF(R22="EPR",VLOOKUP(Q22,Dados!L$3:N$18,3)))</f>
        <v>28</v>
      </c>
      <c r="U22" s="143" t="s">
        <v>140</v>
      </c>
      <c r="V22" s="62"/>
      <c r="W22" s="145"/>
      <c r="X22" s="140"/>
      <c r="Y22" s="137"/>
      <c r="Z22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7.2928455055531671</v>
      </c>
      <c r="AA22" s="63"/>
      <c r="AB22" s="101">
        <f t="shared" si="4"/>
        <v>0</v>
      </c>
      <c r="AC22" s="60">
        <v>1</v>
      </c>
      <c r="AD22" s="51">
        <f t="shared" si="5"/>
        <v>7.2928455055531671</v>
      </c>
      <c r="AE22" s="56">
        <f t="shared" si="6"/>
        <v>1600</v>
      </c>
      <c r="AF22" s="56">
        <f t="shared" si="7"/>
        <v>0</v>
      </c>
      <c r="AG22" s="56">
        <f t="shared" si="8"/>
        <v>0</v>
      </c>
      <c r="AH22" s="89">
        <f t="shared" si="9"/>
        <v>219.39310229205779</v>
      </c>
      <c r="AI22" s="90">
        <f>VLOOKUP(Q22,Dados!$T$4:$U$19,2,FALSE)</f>
        <v>9.3000000000000007</v>
      </c>
      <c r="AJ22" s="91">
        <v>1</v>
      </c>
    </row>
    <row r="23" spans="1:36" customFormat="1">
      <c r="A23" s="52"/>
      <c r="B23" s="52" t="s">
        <v>134</v>
      </c>
      <c r="C23" s="52"/>
      <c r="D23" s="52"/>
      <c r="E23" s="53" t="s">
        <v>146</v>
      </c>
      <c r="F23" s="53" t="s">
        <v>147</v>
      </c>
      <c r="G23" s="53" t="s">
        <v>137</v>
      </c>
      <c r="H23" s="53"/>
      <c r="I23" s="54">
        <v>1500</v>
      </c>
      <c r="J23" s="55">
        <f t="shared" si="11"/>
        <v>1380</v>
      </c>
      <c r="K23" s="56">
        <v>0.92</v>
      </c>
      <c r="L23" s="57">
        <f t="shared" si="12"/>
        <v>0</v>
      </c>
      <c r="M23" s="57">
        <f t="shared" si="13"/>
        <v>1500</v>
      </c>
      <c r="N23" s="57">
        <f t="shared" si="14"/>
        <v>0</v>
      </c>
      <c r="O23" s="56">
        <v>20</v>
      </c>
      <c r="P23" s="56" t="s">
        <v>138</v>
      </c>
      <c r="Q23" s="56">
        <f>IF(R23="PVC",VLOOKUP(O23,Dados!C$3:D$19,2),IF(R23="EPR",VLOOKUP(O23,Dados!C$22:D$38,2)))</f>
        <v>4</v>
      </c>
      <c r="R23" s="56" t="s">
        <v>139</v>
      </c>
      <c r="S23" s="51">
        <f t="shared" si="10"/>
        <v>6.8370426614560946</v>
      </c>
      <c r="T23" s="56">
        <f>IF(R23="PVC",VLOOKUP(Q23,Dados!L$3:M$18,2),IF(R23="EPR",VLOOKUP(Q23,Dados!L$3:N$18,3)))</f>
        <v>28</v>
      </c>
      <c r="U23" s="143" t="s">
        <v>140</v>
      </c>
      <c r="V23" s="62"/>
      <c r="W23" s="145"/>
      <c r="X23" s="140"/>
      <c r="Y23" s="137"/>
      <c r="Z23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6.8370426614560946</v>
      </c>
      <c r="AA23" s="63"/>
      <c r="AB23" s="101">
        <f t="shared" si="4"/>
        <v>0</v>
      </c>
      <c r="AC23" s="60">
        <v>1</v>
      </c>
      <c r="AD23" s="51">
        <f t="shared" si="5"/>
        <v>6.8370426614560946</v>
      </c>
      <c r="AE23" s="56">
        <f t="shared" si="6"/>
        <v>0</v>
      </c>
      <c r="AF23" s="56">
        <f t="shared" si="7"/>
        <v>1500</v>
      </c>
      <c r="AG23" s="56">
        <f t="shared" si="8"/>
        <v>0</v>
      </c>
      <c r="AH23" s="89">
        <f t="shared" si="9"/>
        <v>219.39310229205779</v>
      </c>
      <c r="AI23" s="90">
        <f>VLOOKUP(Q23,Dados!$T$4:$U$19,2,FALSE)</f>
        <v>9.3000000000000007</v>
      </c>
      <c r="AJ23" s="91">
        <v>1</v>
      </c>
    </row>
    <row r="24" spans="1:36" customFormat="1">
      <c r="A24" s="52"/>
      <c r="B24" s="52"/>
      <c r="C24" s="52" t="s">
        <v>134</v>
      </c>
      <c r="D24" s="52"/>
      <c r="E24" s="53" t="s">
        <v>148</v>
      </c>
      <c r="F24" s="53" t="s">
        <v>149</v>
      </c>
      <c r="G24" s="53" t="s">
        <v>137</v>
      </c>
      <c r="H24" s="53"/>
      <c r="I24" s="54">
        <v>7000</v>
      </c>
      <c r="J24" s="55">
        <f t="shared" si="11"/>
        <v>6440</v>
      </c>
      <c r="K24" s="56">
        <v>0.92</v>
      </c>
      <c r="L24" s="57">
        <f t="shared" si="12"/>
        <v>0</v>
      </c>
      <c r="M24" s="57">
        <f t="shared" si="13"/>
        <v>0</v>
      </c>
      <c r="N24" s="57">
        <f t="shared" si="14"/>
        <v>7000</v>
      </c>
      <c r="O24" s="56">
        <v>40</v>
      </c>
      <c r="P24" s="56" t="s">
        <v>138</v>
      </c>
      <c r="Q24" s="56">
        <f>IF(R24="PVC",VLOOKUP(O24,Dados!C$3:D$19,2),IF(R24="EPR",VLOOKUP(O24,Dados!C$22:D$38,2)))</f>
        <v>10</v>
      </c>
      <c r="R24" s="56" t="s">
        <v>139</v>
      </c>
      <c r="S24" s="51">
        <f t="shared" si="10"/>
        <v>31.906199086795109</v>
      </c>
      <c r="T24" s="56">
        <f>IF(R24="PVC",VLOOKUP(Q24,Dados!L$3:M$18,2),IF(R24="EPR",VLOOKUP(Q24,Dados!L$3:N$18,3)))</f>
        <v>50</v>
      </c>
      <c r="U24" s="143" t="s">
        <v>140</v>
      </c>
      <c r="V24" s="62"/>
      <c r="W24" s="145"/>
      <c r="X24" s="140"/>
      <c r="Y24" s="137"/>
      <c r="Z24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24" s="63"/>
      <c r="AB24" s="101">
        <f t="shared" si="4"/>
        <v>0</v>
      </c>
      <c r="AC24" s="60">
        <v>1</v>
      </c>
      <c r="AD24" s="51">
        <f t="shared" si="5"/>
        <v>31.906199086795109</v>
      </c>
      <c r="AE24" s="56">
        <f t="shared" si="6"/>
        <v>0</v>
      </c>
      <c r="AF24" s="56">
        <f t="shared" si="7"/>
        <v>0</v>
      </c>
      <c r="AG24" s="56">
        <f t="shared" si="8"/>
        <v>7000</v>
      </c>
      <c r="AH24" s="89">
        <f t="shared" si="9"/>
        <v>219.39310229205779</v>
      </c>
      <c r="AI24" s="90">
        <f>VLOOKUP(Q24,Dados!$T$4:$U$19,2,FALSE)</f>
        <v>3.7</v>
      </c>
      <c r="AJ24" s="91">
        <v>1</v>
      </c>
    </row>
    <row r="25" spans="1:36" customFormat="1">
      <c r="A25" s="52" t="s">
        <v>134</v>
      </c>
      <c r="B25" s="52"/>
      <c r="C25" s="52"/>
      <c r="D25" s="52"/>
      <c r="E25" s="53" t="s">
        <v>150</v>
      </c>
      <c r="F25" s="53" t="s">
        <v>151</v>
      </c>
      <c r="G25" s="53" t="s">
        <v>137</v>
      </c>
      <c r="H25" s="53"/>
      <c r="I25" s="54">
        <v>1300</v>
      </c>
      <c r="J25" s="55">
        <f t="shared" si="11"/>
        <v>1196</v>
      </c>
      <c r="K25" s="56">
        <v>0.92</v>
      </c>
      <c r="L25" s="57">
        <f t="shared" si="12"/>
        <v>1300</v>
      </c>
      <c r="M25" s="57">
        <f t="shared" si="13"/>
        <v>0</v>
      </c>
      <c r="N25" s="57">
        <f t="shared" si="14"/>
        <v>0</v>
      </c>
      <c r="O25" s="56">
        <v>20</v>
      </c>
      <c r="P25" s="56" t="s">
        <v>138</v>
      </c>
      <c r="Q25" s="56">
        <f>IF(R25="PVC",VLOOKUP(O25,Dados!C$3:D$19,2),IF(R25="EPR",VLOOKUP(O25,Dados!C$22:D$38,2)))</f>
        <v>4</v>
      </c>
      <c r="R25" s="56" t="s">
        <v>139</v>
      </c>
      <c r="S25" s="51">
        <f t="shared" si="10"/>
        <v>5.9254369732619487</v>
      </c>
      <c r="T25" s="56">
        <f>IF(R25="PVC",VLOOKUP(Q25,Dados!L$3:M$18,2),IF(R25="EPR",VLOOKUP(Q25,Dados!L$3:N$18,3)))</f>
        <v>28</v>
      </c>
      <c r="U25" s="143" t="s">
        <v>140</v>
      </c>
      <c r="V25" s="62"/>
      <c r="W25" s="145"/>
      <c r="X25" s="140"/>
      <c r="Y25" s="137"/>
      <c r="Z25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5.9254369732619487</v>
      </c>
      <c r="AA25" s="63"/>
      <c r="AB25" s="101">
        <f t="shared" si="4"/>
        <v>0</v>
      </c>
      <c r="AC25" s="60">
        <v>1</v>
      </c>
      <c r="AD25" s="51">
        <f t="shared" si="5"/>
        <v>5.9254369732619487</v>
      </c>
      <c r="AE25" s="56">
        <f t="shared" si="6"/>
        <v>1300</v>
      </c>
      <c r="AF25" s="56">
        <f t="shared" si="7"/>
        <v>0</v>
      </c>
      <c r="AG25" s="56">
        <f t="shared" si="8"/>
        <v>0</v>
      </c>
      <c r="AH25" s="89">
        <f t="shared" si="9"/>
        <v>219.39310229205779</v>
      </c>
      <c r="AI25" s="90">
        <f>VLOOKUP(Q25,Dados!$T$4:$U$19,2,FALSE)</f>
        <v>9.3000000000000007</v>
      </c>
      <c r="AJ25" s="91">
        <v>1</v>
      </c>
    </row>
    <row r="26" spans="1:36" customFormat="1">
      <c r="A26" s="61"/>
      <c r="B26" s="52" t="s">
        <v>134</v>
      </c>
      <c r="C26" s="52"/>
      <c r="D26" s="52"/>
      <c r="E26" s="53" t="s">
        <v>152</v>
      </c>
      <c r="F26" s="53" t="s">
        <v>153</v>
      </c>
      <c r="G26" s="53" t="s">
        <v>137</v>
      </c>
      <c r="H26" s="53"/>
      <c r="I26" s="54">
        <v>900</v>
      </c>
      <c r="J26" s="55">
        <f t="shared" si="11"/>
        <v>828</v>
      </c>
      <c r="K26" s="56">
        <v>0.92</v>
      </c>
      <c r="L26" s="57">
        <f t="shared" si="12"/>
        <v>0</v>
      </c>
      <c r="M26" s="57">
        <f t="shared" si="13"/>
        <v>900</v>
      </c>
      <c r="N26" s="57">
        <f t="shared" si="14"/>
        <v>0</v>
      </c>
      <c r="O26" s="56">
        <v>16</v>
      </c>
      <c r="P26" s="56" t="s">
        <v>138</v>
      </c>
      <c r="Q26" s="56">
        <f>IF(R26="PVC",VLOOKUP(O26,Dados!C$3:D$19,2),IF(R26="EPR",VLOOKUP(O26,Dados!C$22:D$38,2)))</f>
        <v>2.5</v>
      </c>
      <c r="R26" s="56" t="s">
        <v>139</v>
      </c>
      <c r="S26" s="51">
        <f t="shared" si="10"/>
        <v>4.102225596873657</v>
      </c>
      <c r="T26" s="56">
        <f>IF(R26="PVC",VLOOKUP(Q26,Dados!L$3:M$18,2),IF(R26="EPR",VLOOKUP(Q26,Dados!L$3:N$18,3)))</f>
        <v>21</v>
      </c>
      <c r="U26" s="143" t="s">
        <v>140</v>
      </c>
      <c r="V26" s="62"/>
      <c r="W26" s="145"/>
      <c r="X26" s="140"/>
      <c r="Y26" s="137"/>
      <c r="Z26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4.102225596873657</v>
      </c>
      <c r="AA26" s="63"/>
      <c r="AB26" s="101">
        <f t="shared" si="4"/>
        <v>0</v>
      </c>
      <c r="AC26" s="60">
        <v>1</v>
      </c>
      <c r="AD26" s="51">
        <f t="shared" si="5"/>
        <v>4.102225596873657</v>
      </c>
      <c r="AE26" s="56">
        <f t="shared" si="6"/>
        <v>0</v>
      </c>
      <c r="AF26" s="56">
        <f t="shared" si="7"/>
        <v>900</v>
      </c>
      <c r="AG26" s="56">
        <f t="shared" si="8"/>
        <v>0</v>
      </c>
      <c r="AH26" s="89">
        <f t="shared" si="9"/>
        <v>219.39310229205779</v>
      </c>
      <c r="AI26" s="90">
        <f>VLOOKUP(Q26,Dados!$T$4:$U$19,2,FALSE)</f>
        <v>15</v>
      </c>
      <c r="AJ26" s="91">
        <v>1</v>
      </c>
    </row>
    <row r="27" spans="1:36" customFormat="1">
      <c r="A27" s="52"/>
      <c r="B27" s="52"/>
      <c r="C27" s="52" t="s">
        <v>134</v>
      </c>
      <c r="D27" s="52"/>
      <c r="E27" s="53" t="s">
        <v>154</v>
      </c>
      <c r="F27" s="53" t="s">
        <v>153</v>
      </c>
      <c r="G27" s="53" t="s">
        <v>137</v>
      </c>
      <c r="H27" s="53"/>
      <c r="I27" s="54">
        <v>900</v>
      </c>
      <c r="J27" s="55">
        <f t="shared" si="11"/>
        <v>828</v>
      </c>
      <c r="K27" s="56">
        <v>0.92</v>
      </c>
      <c r="L27" s="57">
        <f t="shared" si="12"/>
        <v>0</v>
      </c>
      <c r="M27" s="57">
        <f t="shared" si="13"/>
        <v>0</v>
      </c>
      <c r="N27" s="57">
        <f t="shared" si="14"/>
        <v>900</v>
      </c>
      <c r="O27" s="56">
        <v>16</v>
      </c>
      <c r="P27" s="56" t="s">
        <v>138</v>
      </c>
      <c r="Q27" s="56">
        <f>IF(R27="PVC",VLOOKUP(O27,Dados!C$3:D$19,2),IF(R27="EPR",VLOOKUP(O27,Dados!C$22:D$38,2)))</f>
        <v>2.5</v>
      </c>
      <c r="R27" s="56" t="s">
        <v>139</v>
      </c>
      <c r="S27" s="51">
        <f t="shared" si="10"/>
        <v>4.102225596873657</v>
      </c>
      <c r="T27" s="56">
        <f>IF(R27="PVC",VLOOKUP(Q27,Dados!L$3:M$18,2),IF(R27="EPR",VLOOKUP(Q27,Dados!L$3:N$18,3)))</f>
        <v>21</v>
      </c>
      <c r="U27" s="143" t="s">
        <v>140</v>
      </c>
      <c r="V27" s="62"/>
      <c r="W27" s="145"/>
      <c r="X27" s="140"/>
      <c r="Y27" s="137"/>
      <c r="Z27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4.102225596873657</v>
      </c>
      <c r="AA27" s="63"/>
      <c r="AB27" s="101">
        <f t="shared" si="4"/>
        <v>0</v>
      </c>
      <c r="AC27" s="60">
        <v>1</v>
      </c>
      <c r="AD27" s="51">
        <f t="shared" si="5"/>
        <v>4.102225596873657</v>
      </c>
      <c r="AE27" s="56">
        <f t="shared" si="6"/>
        <v>0</v>
      </c>
      <c r="AF27" s="56">
        <f t="shared" si="7"/>
        <v>0</v>
      </c>
      <c r="AG27" s="56">
        <f t="shared" si="8"/>
        <v>900</v>
      </c>
      <c r="AH27" s="89">
        <f t="shared" si="9"/>
        <v>219.39310229205779</v>
      </c>
      <c r="AI27" s="90">
        <f>VLOOKUP(Q27,Dados!$T$4:$U$19,2,FALSE)</f>
        <v>15</v>
      </c>
      <c r="AJ27" s="91">
        <v>1</v>
      </c>
    </row>
    <row r="28" spans="1:36" customFormat="1">
      <c r="A28" s="61" t="s">
        <v>134</v>
      </c>
      <c r="B28" s="52"/>
      <c r="C28" s="52"/>
      <c r="D28" s="52"/>
      <c r="E28" s="53" t="s">
        <v>155</v>
      </c>
      <c r="F28" s="53" t="s">
        <v>153</v>
      </c>
      <c r="G28" s="53" t="s">
        <v>137</v>
      </c>
      <c r="H28" s="53"/>
      <c r="I28" s="54">
        <v>900</v>
      </c>
      <c r="J28" s="55">
        <f t="shared" si="11"/>
        <v>828</v>
      </c>
      <c r="K28" s="56">
        <v>0.92</v>
      </c>
      <c r="L28" s="57">
        <f t="shared" si="12"/>
        <v>900</v>
      </c>
      <c r="M28" s="57">
        <f t="shared" si="13"/>
        <v>0</v>
      </c>
      <c r="N28" s="57">
        <f t="shared" si="14"/>
        <v>0</v>
      </c>
      <c r="O28" s="56">
        <v>16</v>
      </c>
      <c r="P28" s="56" t="s">
        <v>138</v>
      </c>
      <c r="Q28" s="56">
        <f>IF(R28="PVC",VLOOKUP(O28,Dados!C$3:D$19,2),IF(R28="EPR",VLOOKUP(O28,Dados!C$22:D$38,2)))</f>
        <v>2.5</v>
      </c>
      <c r="R28" s="56" t="s">
        <v>139</v>
      </c>
      <c r="S28" s="51">
        <f t="shared" si="10"/>
        <v>4.102225596873657</v>
      </c>
      <c r="T28" s="56">
        <f>IF(R28="PVC",VLOOKUP(Q28,Dados!L$3:M$18,2),IF(R28="EPR",VLOOKUP(Q28,Dados!L$3:N$18,3)))</f>
        <v>21</v>
      </c>
      <c r="U28" s="143" t="s">
        <v>140</v>
      </c>
      <c r="V28" s="62"/>
      <c r="W28" s="145"/>
      <c r="X28" s="140"/>
      <c r="Y28" s="137"/>
      <c r="Z28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4.102225596873657</v>
      </c>
      <c r="AA28" s="63"/>
      <c r="AB28" s="101">
        <f t="shared" si="4"/>
        <v>0</v>
      </c>
      <c r="AC28" s="60">
        <v>1</v>
      </c>
      <c r="AD28" s="51">
        <f t="shared" si="5"/>
        <v>4.102225596873657</v>
      </c>
      <c r="AE28" s="56">
        <f t="shared" si="6"/>
        <v>900</v>
      </c>
      <c r="AF28" s="56">
        <f t="shared" si="7"/>
        <v>0</v>
      </c>
      <c r="AG28" s="56">
        <f t="shared" si="8"/>
        <v>0</v>
      </c>
      <c r="AH28" s="89">
        <f t="shared" si="9"/>
        <v>219.39310229205779</v>
      </c>
      <c r="AI28" s="90">
        <f>VLOOKUP(Q28,Dados!$T$4:$U$19,2,FALSE)</f>
        <v>15</v>
      </c>
      <c r="AJ28" s="91">
        <v>1</v>
      </c>
    </row>
    <row r="29" spans="1:36" customFormat="1">
      <c r="A29" s="52"/>
      <c r="B29" s="52" t="s">
        <v>134</v>
      </c>
      <c r="C29" s="52"/>
      <c r="D29" s="52"/>
      <c r="E29" s="53" t="s">
        <v>156</v>
      </c>
      <c r="F29" s="53" t="s">
        <v>157</v>
      </c>
      <c r="G29" s="53" t="s">
        <v>137</v>
      </c>
      <c r="H29" s="53"/>
      <c r="I29" s="54">
        <v>600</v>
      </c>
      <c r="J29" s="55">
        <f t="shared" si="11"/>
        <v>552</v>
      </c>
      <c r="K29" s="56">
        <v>0.92</v>
      </c>
      <c r="L29" s="57">
        <f t="shared" si="12"/>
        <v>0</v>
      </c>
      <c r="M29" s="57">
        <f t="shared" si="13"/>
        <v>600</v>
      </c>
      <c r="N29" s="57">
        <f t="shared" si="14"/>
        <v>0</v>
      </c>
      <c r="O29" s="56">
        <v>16</v>
      </c>
      <c r="P29" s="56" t="s">
        <v>138</v>
      </c>
      <c r="Q29" s="56">
        <f>IF(R29="PVC",VLOOKUP(O29,Dados!C$3:D$19,2),IF(R29="EPR",VLOOKUP(O29,Dados!C$22:D$38,2)))</f>
        <v>2.5</v>
      </c>
      <c r="R29" s="56" t="s">
        <v>139</v>
      </c>
      <c r="S29" s="51">
        <f t="shared" si="10"/>
        <v>2.7348170645824377</v>
      </c>
      <c r="T29" s="56">
        <f>IF(R29="PVC",VLOOKUP(Q29,Dados!L$3:M$18,2),IF(R29="EPR",VLOOKUP(Q29,Dados!L$3:N$18,3)))</f>
        <v>21</v>
      </c>
      <c r="U29" s="143" t="s">
        <v>140</v>
      </c>
      <c r="V29" s="62"/>
      <c r="W29" s="145"/>
      <c r="X29" s="140"/>
      <c r="Y29" s="137"/>
      <c r="Z29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2.7348170645824377</v>
      </c>
      <c r="AA29" s="63"/>
      <c r="AB29" s="101">
        <f t="shared" si="4"/>
        <v>0</v>
      </c>
      <c r="AC29" s="60">
        <v>1</v>
      </c>
      <c r="AD29" s="51">
        <f t="shared" si="5"/>
        <v>2.7348170645824377</v>
      </c>
      <c r="AE29" s="56">
        <f t="shared" si="6"/>
        <v>0</v>
      </c>
      <c r="AF29" s="56">
        <f t="shared" si="7"/>
        <v>600</v>
      </c>
      <c r="AG29" s="56">
        <f t="shared" si="8"/>
        <v>0</v>
      </c>
      <c r="AH29" s="89">
        <f t="shared" si="9"/>
        <v>219.39310229205779</v>
      </c>
      <c r="AI29" s="90">
        <f>VLOOKUP(Q29,Dados!$T$4:$U$19,2,FALSE)</f>
        <v>15</v>
      </c>
      <c r="AJ29" s="91">
        <v>1</v>
      </c>
    </row>
    <row r="30" spans="1:36" customFormat="1">
      <c r="A30" s="52"/>
      <c r="B30" s="52"/>
      <c r="C30" s="52" t="s">
        <v>134</v>
      </c>
      <c r="D30" s="52"/>
      <c r="E30" s="53" t="s">
        <v>158</v>
      </c>
      <c r="F30" s="53" t="s">
        <v>159</v>
      </c>
      <c r="G30" s="53" t="s">
        <v>137</v>
      </c>
      <c r="H30" s="53"/>
      <c r="I30" s="54">
        <v>400</v>
      </c>
      <c r="J30" s="55">
        <f t="shared" si="11"/>
        <v>368</v>
      </c>
      <c r="K30" s="56">
        <v>0.92</v>
      </c>
      <c r="L30" s="57">
        <f t="shared" si="12"/>
        <v>0</v>
      </c>
      <c r="M30" s="57">
        <f t="shared" si="13"/>
        <v>0</v>
      </c>
      <c r="N30" s="57">
        <f t="shared" si="14"/>
        <v>400</v>
      </c>
      <c r="O30" s="56">
        <v>16</v>
      </c>
      <c r="P30" s="56" t="s">
        <v>138</v>
      </c>
      <c r="Q30" s="56">
        <f>IF(R30="PVC",VLOOKUP(O30,Dados!C$3:D$19,2),IF(R30="EPR",VLOOKUP(O30,Dados!C$22:D$38,2)))</f>
        <v>2.5</v>
      </c>
      <c r="R30" s="56" t="s">
        <v>139</v>
      </c>
      <c r="S30" s="51">
        <f t="shared" si="10"/>
        <v>1.8232113763882918</v>
      </c>
      <c r="T30" s="56">
        <f>IF(R30="PVC",VLOOKUP(Q30,Dados!L$3:M$18,2),IF(R30="EPR",VLOOKUP(Q30,Dados!L$3:N$18,3)))</f>
        <v>21</v>
      </c>
      <c r="U30" s="143" t="s">
        <v>140</v>
      </c>
      <c r="V30" s="62"/>
      <c r="W30" s="145"/>
      <c r="X30" s="140"/>
      <c r="Y30" s="137"/>
      <c r="Z30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1.8232113763882918</v>
      </c>
      <c r="AA30" s="63"/>
      <c r="AB30" s="101">
        <f t="shared" si="4"/>
        <v>0</v>
      </c>
      <c r="AC30" s="60">
        <v>1</v>
      </c>
      <c r="AD30" s="51">
        <f t="shared" si="5"/>
        <v>1.8232113763882918</v>
      </c>
      <c r="AE30" s="56">
        <f t="shared" si="6"/>
        <v>0</v>
      </c>
      <c r="AF30" s="56">
        <f t="shared" si="7"/>
        <v>0</v>
      </c>
      <c r="AG30" s="56">
        <f t="shared" si="8"/>
        <v>400</v>
      </c>
      <c r="AH30" s="89">
        <f t="shared" si="9"/>
        <v>219.39310229205779</v>
      </c>
      <c r="AI30" s="90">
        <f>VLOOKUP(Q30,Dados!$T$4:$U$19,2,FALSE)</f>
        <v>15</v>
      </c>
      <c r="AJ30" s="91">
        <v>1</v>
      </c>
    </row>
    <row r="31" spans="1:36" customFormat="1" hidden="1">
      <c r="A31" s="52" t="s">
        <v>134</v>
      </c>
      <c r="B31" s="52"/>
      <c r="C31" s="52"/>
      <c r="D31" s="52"/>
      <c r="E31" s="53"/>
      <c r="F31" s="53"/>
      <c r="G31" s="53" t="s">
        <v>137</v>
      </c>
      <c r="H31" s="53"/>
      <c r="I31" s="54"/>
      <c r="J31" s="55">
        <f t="shared" si="11"/>
        <v>0</v>
      </c>
      <c r="K31" s="56">
        <v>0.92</v>
      </c>
      <c r="L31" s="57">
        <f t="shared" si="12"/>
        <v>0</v>
      </c>
      <c r="M31" s="57">
        <f t="shared" si="13"/>
        <v>0</v>
      </c>
      <c r="N31" s="57">
        <f t="shared" si="14"/>
        <v>0</v>
      </c>
      <c r="O31" s="56"/>
      <c r="P31" s="56" t="s">
        <v>138</v>
      </c>
      <c r="Q31" s="56" t="e">
        <f>IF(R31="PVC",VLOOKUP(O31,Dados!C$3:D$19,2),IF(R31="EPR",VLOOKUP(O31,Dados!C$22:D$38,2)))</f>
        <v>#N/A</v>
      </c>
      <c r="R31" s="56" t="s">
        <v>139</v>
      </c>
      <c r="S31" s="51">
        <f t="shared" si="10"/>
        <v>0</v>
      </c>
      <c r="T31" s="56" t="e">
        <f>IF(R31="PVC",VLOOKUP(Q31,Dados!L$3:M$18,2),IF(R31="EPR",VLOOKUP(Q31,Dados!L$3:N$18,3)))</f>
        <v>#N/A</v>
      </c>
      <c r="U31" s="143" t="s">
        <v>140</v>
      </c>
      <c r="V31" s="62"/>
      <c r="W31" s="145"/>
      <c r="X31" s="140"/>
      <c r="Y31" s="137"/>
      <c r="Z31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1" s="63"/>
      <c r="AB31" s="101" t="e">
        <f t="shared" si="4"/>
        <v>#N/A</v>
      </c>
      <c r="AC31" s="60">
        <v>1</v>
      </c>
      <c r="AD31" s="51">
        <f t="shared" si="5"/>
        <v>0</v>
      </c>
      <c r="AE31" s="56">
        <f t="shared" si="6"/>
        <v>0</v>
      </c>
      <c r="AF31" s="56">
        <f t="shared" si="7"/>
        <v>0</v>
      </c>
      <c r="AG31" s="56">
        <f t="shared" si="8"/>
        <v>0</v>
      </c>
      <c r="AH31" s="89">
        <f t="shared" si="9"/>
        <v>219.39310229205779</v>
      </c>
      <c r="AI31" s="90" t="e">
        <f>VLOOKUP(Q31,Dados!$T$4:$U$19,2,FALSE)</f>
        <v>#N/A</v>
      </c>
      <c r="AJ31" s="91">
        <v>1</v>
      </c>
    </row>
    <row r="32" spans="1:36" customFormat="1" hidden="1">
      <c r="A32" s="61"/>
      <c r="B32" s="52" t="s">
        <v>134</v>
      </c>
      <c r="C32" s="52"/>
      <c r="D32" s="52"/>
      <c r="E32" s="53"/>
      <c r="F32" s="53"/>
      <c r="G32" s="53" t="s">
        <v>137</v>
      </c>
      <c r="H32" s="53"/>
      <c r="I32" s="54"/>
      <c r="J32" s="55">
        <f t="shared" si="11"/>
        <v>0</v>
      </c>
      <c r="K32" s="56">
        <v>0.92</v>
      </c>
      <c r="L32" s="57">
        <f t="shared" si="12"/>
        <v>0</v>
      </c>
      <c r="M32" s="57">
        <f t="shared" si="13"/>
        <v>0</v>
      </c>
      <c r="N32" s="57">
        <f t="shared" si="14"/>
        <v>0</v>
      </c>
      <c r="O32" s="56"/>
      <c r="P32" s="56" t="s">
        <v>138</v>
      </c>
      <c r="Q32" s="56" t="e">
        <f>IF(R32="PVC",VLOOKUP(O32,Dados!C$3:D$19,2),IF(R32="EPR",VLOOKUP(O32,Dados!C$22:D$38,2)))</f>
        <v>#N/A</v>
      </c>
      <c r="R32" s="56" t="s">
        <v>139</v>
      </c>
      <c r="S32" s="51">
        <f t="shared" si="10"/>
        <v>0</v>
      </c>
      <c r="T32" s="56" t="e">
        <f>IF(R32="PVC",VLOOKUP(Q32,Dados!L$3:M$18,2),IF(R32="EPR",VLOOKUP(Q32,Dados!L$3:N$18,3)))</f>
        <v>#N/A</v>
      </c>
      <c r="U32" s="143" t="s">
        <v>140</v>
      </c>
      <c r="V32" s="62"/>
      <c r="W32" s="145"/>
      <c r="X32" s="140"/>
      <c r="Y32" s="137"/>
      <c r="Z32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2" s="63"/>
      <c r="AB32" s="101" t="e">
        <f t="shared" si="4"/>
        <v>#N/A</v>
      </c>
      <c r="AC32" s="60">
        <v>1</v>
      </c>
      <c r="AD32" s="51">
        <f t="shared" si="5"/>
        <v>0</v>
      </c>
      <c r="AE32" s="56">
        <f t="shared" si="6"/>
        <v>0</v>
      </c>
      <c r="AF32" s="56">
        <f t="shared" si="7"/>
        <v>0</v>
      </c>
      <c r="AG32" s="56">
        <f t="shared" si="8"/>
        <v>0</v>
      </c>
      <c r="AH32" s="89">
        <f t="shared" si="9"/>
        <v>219.39310229205779</v>
      </c>
      <c r="AI32" s="90" t="e">
        <f>VLOOKUP(Q32,Dados!$T$4:$U$19,2,FALSE)</f>
        <v>#N/A</v>
      </c>
      <c r="AJ32" s="91">
        <v>1</v>
      </c>
    </row>
    <row r="33" spans="1:36" customFormat="1" hidden="1">
      <c r="A33" s="52"/>
      <c r="B33" s="52"/>
      <c r="C33" s="52" t="s">
        <v>134</v>
      </c>
      <c r="D33" s="52"/>
      <c r="E33" s="53"/>
      <c r="F33" s="53"/>
      <c r="G33" s="53" t="s">
        <v>137</v>
      </c>
      <c r="H33" s="53"/>
      <c r="I33" s="54"/>
      <c r="J33" s="55">
        <f t="shared" si="11"/>
        <v>0</v>
      </c>
      <c r="K33" s="56">
        <v>0.92</v>
      </c>
      <c r="L33" s="57">
        <f t="shared" si="12"/>
        <v>0</v>
      </c>
      <c r="M33" s="57">
        <f t="shared" si="13"/>
        <v>0</v>
      </c>
      <c r="N33" s="57">
        <f t="shared" si="14"/>
        <v>0</v>
      </c>
      <c r="O33" s="56"/>
      <c r="P33" s="56" t="s">
        <v>138</v>
      </c>
      <c r="Q33" s="56" t="e">
        <f>IF(R33="PVC",VLOOKUP(O33,Dados!C$3:D$19,2),IF(R33="EPR",VLOOKUP(O33,Dados!C$22:D$38,2)))</f>
        <v>#N/A</v>
      </c>
      <c r="R33" s="56" t="s">
        <v>139</v>
      </c>
      <c r="S33" s="51">
        <f t="shared" si="10"/>
        <v>0</v>
      </c>
      <c r="T33" s="56" t="e">
        <f>IF(R33="PVC",VLOOKUP(Q33,Dados!L$3:M$18,2),IF(R33="EPR",VLOOKUP(Q33,Dados!L$3:N$18,3)))</f>
        <v>#N/A</v>
      </c>
      <c r="U33" s="143" t="s">
        <v>140</v>
      </c>
      <c r="V33" s="62"/>
      <c r="W33" s="145"/>
      <c r="X33" s="140"/>
      <c r="Y33" s="137"/>
      <c r="Z33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3" s="63"/>
      <c r="AB33" s="101" t="e">
        <f t="shared" si="4"/>
        <v>#N/A</v>
      </c>
      <c r="AC33" s="60">
        <v>1</v>
      </c>
      <c r="AD33" s="51">
        <f t="shared" si="5"/>
        <v>0</v>
      </c>
      <c r="AE33" s="56">
        <f t="shared" si="6"/>
        <v>0</v>
      </c>
      <c r="AF33" s="56">
        <f t="shared" si="7"/>
        <v>0</v>
      </c>
      <c r="AG33" s="56">
        <f t="shared" si="8"/>
        <v>0</v>
      </c>
      <c r="AH33" s="89">
        <f t="shared" si="9"/>
        <v>219.39310229205779</v>
      </c>
      <c r="AI33" s="90" t="e">
        <f>VLOOKUP(Q33,Dados!$T$4:$U$19,2,FALSE)</f>
        <v>#N/A</v>
      </c>
      <c r="AJ33" s="91">
        <v>1</v>
      </c>
    </row>
    <row r="34" spans="1:36" customFormat="1" hidden="1">
      <c r="A34" s="61" t="s">
        <v>134</v>
      </c>
      <c r="B34" s="52"/>
      <c r="C34" s="52"/>
      <c r="D34" s="52"/>
      <c r="E34" s="53"/>
      <c r="F34" s="53"/>
      <c r="G34" s="53" t="s">
        <v>137</v>
      </c>
      <c r="H34" s="53"/>
      <c r="I34" s="54"/>
      <c r="J34" s="55">
        <f t="shared" si="11"/>
        <v>0</v>
      </c>
      <c r="K34" s="56">
        <v>0.92</v>
      </c>
      <c r="L34" s="57">
        <f t="shared" si="12"/>
        <v>0</v>
      </c>
      <c r="M34" s="57">
        <f t="shared" si="13"/>
        <v>0</v>
      </c>
      <c r="N34" s="57">
        <f t="shared" si="14"/>
        <v>0</v>
      </c>
      <c r="O34" s="56"/>
      <c r="P34" s="56" t="s">
        <v>138</v>
      </c>
      <c r="Q34" s="56" t="e">
        <f>IF(R34="PVC",VLOOKUP(O34,Dados!C$3:D$19,2),IF(R34="EPR",VLOOKUP(O34,Dados!C$22:D$38,2)))</f>
        <v>#N/A</v>
      </c>
      <c r="R34" s="56" t="s">
        <v>139</v>
      </c>
      <c r="S34" s="51">
        <f t="shared" si="10"/>
        <v>0</v>
      </c>
      <c r="T34" s="56" t="e">
        <f>IF(R34="PVC",VLOOKUP(Q34,Dados!L$3:M$18,2),IF(R34="EPR",VLOOKUP(Q34,Dados!L$3:N$18,3)))</f>
        <v>#N/A</v>
      </c>
      <c r="U34" s="143" t="s">
        <v>140</v>
      </c>
      <c r="V34" s="62"/>
      <c r="W34" s="145"/>
      <c r="X34" s="140"/>
      <c r="Y34" s="137"/>
      <c r="Z34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4" s="63"/>
      <c r="AB34" s="101" t="e">
        <f t="shared" si="4"/>
        <v>#N/A</v>
      </c>
      <c r="AC34" s="60">
        <v>1</v>
      </c>
      <c r="AD34" s="51">
        <f t="shared" si="5"/>
        <v>0</v>
      </c>
      <c r="AE34" s="56">
        <f t="shared" si="6"/>
        <v>0</v>
      </c>
      <c r="AF34" s="56">
        <f t="shared" si="7"/>
        <v>0</v>
      </c>
      <c r="AG34" s="56">
        <f t="shared" si="8"/>
        <v>0</v>
      </c>
      <c r="AH34" s="89">
        <f t="shared" si="9"/>
        <v>219.39310229205779</v>
      </c>
      <c r="AI34" s="90" t="e">
        <f>VLOOKUP(Q34,Dados!$T$4:$U$19,2,FALSE)</f>
        <v>#N/A</v>
      </c>
      <c r="AJ34" s="91">
        <v>1</v>
      </c>
    </row>
    <row r="35" spans="1:36" customFormat="1" hidden="1">
      <c r="A35" s="52"/>
      <c r="B35" s="52" t="s">
        <v>134</v>
      </c>
      <c r="C35" s="52"/>
      <c r="D35" s="52"/>
      <c r="E35" s="53"/>
      <c r="F35" s="53"/>
      <c r="G35" s="53" t="s">
        <v>137</v>
      </c>
      <c r="H35" s="53"/>
      <c r="I35" s="54"/>
      <c r="J35" s="55">
        <f t="shared" si="11"/>
        <v>0</v>
      </c>
      <c r="K35" s="56">
        <v>0.92</v>
      </c>
      <c r="L35" s="57">
        <f t="shared" si="12"/>
        <v>0</v>
      </c>
      <c r="M35" s="57">
        <f t="shared" si="13"/>
        <v>0</v>
      </c>
      <c r="N35" s="57">
        <f t="shared" si="14"/>
        <v>0</v>
      </c>
      <c r="O35" s="56"/>
      <c r="P35" s="56" t="s">
        <v>138</v>
      </c>
      <c r="Q35" s="56" t="e">
        <f>IF(R35="PVC",VLOOKUP(O35,Dados!C$3:D$19,2),IF(R35="EPR",VLOOKUP(O35,Dados!C$22:D$38,2)))</f>
        <v>#N/A</v>
      </c>
      <c r="R35" s="56" t="s">
        <v>139</v>
      </c>
      <c r="S35" s="51">
        <f t="shared" si="10"/>
        <v>0</v>
      </c>
      <c r="T35" s="56" t="e">
        <f>IF(R35="PVC",VLOOKUP(Q35,Dados!L$3:M$18,2),IF(R35="EPR",VLOOKUP(Q35,Dados!L$3:N$18,3)))</f>
        <v>#N/A</v>
      </c>
      <c r="U35" s="143" t="s">
        <v>140</v>
      </c>
      <c r="V35" s="62"/>
      <c r="W35" s="145"/>
      <c r="X35" s="140"/>
      <c r="Y35" s="137"/>
      <c r="Z35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5" s="63"/>
      <c r="AB35" s="101" t="e">
        <f t="shared" si="4"/>
        <v>#N/A</v>
      </c>
      <c r="AC35" s="60">
        <v>1</v>
      </c>
      <c r="AD35" s="51">
        <f t="shared" si="5"/>
        <v>0</v>
      </c>
      <c r="AE35" s="56">
        <f t="shared" si="6"/>
        <v>0</v>
      </c>
      <c r="AF35" s="56">
        <f t="shared" si="7"/>
        <v>0</v>
      </c>
      <c r="AG35" s="56">
        <f t="shared" si="8"/>
        <v>0</v>
      </c>
      <c r="AH35" s="89">
        <f t="shared" si="9"/>
        <v>219.39310229205779</v>
      </c>
      <c r="AI35" s="90" t="e">
        <f>VLOOKUP(Q35,Dados!$T$4:$U$19,2,FALSE)</f>
        <v>#N/A</v>
      </c>
      <c r="AJ35" s="91">
        <v>1</v>
      </c>
    </row>
    <row r="36" spans="1:36" customFormat="1" hidden="1">
      <c r="A36" s="52"/>
      <c r="B36" s="52"/>
      <c r="C36" s="52" t="s">
        <v>134</v>
      </c>
      <c r="D36" s="52"/>
      <c r="E36" s="53"/>
      <c r="F36" s="53"/>
      <c r="G36" s="53" t="s">
        <v>137</v>
      </c>
      <c r="H36" s="53"/>
      <c r="I36" s="54"/>
      <c r="J36" s="55">
        <f t="shared" si="11"/>
        <v>0</v>
      </c>
      <c r="K36" s="56">
        <v>0.92</v>
      </c>
      <c r="L36" s="57">
        <f t="shared" si="12"/>
        <v>0</v>
      </c>
      <c r="M36" s="57">
        <f t="shared" si="13"/>
        <v>0</v>
      </c>
      <c r="N36" s="57">
        <f t="shared" si="14"/>
        <v>0</v>
      </c>
      <c r="O36" s="56"/>
      <c r="P36" s="56" t="s">
        <v>138</v>
      </c>
      <c r="Q36" s="56" t="e">
        <f>IF(R36="PVC",VLOOKUP(O36,Dados!C$3:D$19,2),IF(R36="EPR",VLOOKUP(O36,Dados!C$22:D$38,2)))</f>
        <v>#N/A</v>
      </c>
      <c r="R36" s="56" t="s">
        <v>139</v>
      </c>
      <c r="S36" s="51">
        <f t="shared" si="10"/>
        <v>0</v>
      </c>
      <c r="T36" s="56" t="e">
        <f>IF(R36="PVC",VLOOKUP(Q36,Dados!L$3:M$18,2),IF(R36="EPR",VLOOKUP(Q36,Dados!L$3:N$18,3)))</f>
        <v>#N/A</v>
      </c>
      <c r="U36" s="143" t="s">
        <v>140</v>
      </c>
      <c r="V36" s="62"/>
      <c r="W36" s="145"/>
      <c r="X36" s="140"/>
      <c r="Y36" s="137"/>
      <c r="Z36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6" s="63"/>
      <c r="AB36" s="101" t="e">
        <f t="shared" si="4"/>
        <v>#N/A</v>
      </c>
      <c r="AC36" s="60">
        <v>1</v>
      </c>
      <c r="AD36" s="51">
        <f t="shared" si="5"/>
        <v>0</v>
      </c>
      <c r="AE36" s="56">
        <f t="shared" si="6"/>
        <v>0</v>
      </c>
      <c r="AF36" s="56">
        <f t="shared" si="7"/>
        <v>0</v>
      </c>
      <c r="AG36" s="56">
        <f t="shared" si="8"/>
        <v>0</v>
      </c>
      <c r="AH36" s="89">
        <f t="shared" si="9"/>
        <v>219.39310229205779</v>
      </c>
      <c r="AI36" s="90" t="e">
        <f>VLOOKUP(Q36,Dados!$T$4:$U$19,2,FALSE)</f>
        <v>#N/A</v>
      </c>
      <c r="AJ36" s="91">
        <v>1</v>
      </c>
    </row>
    <row r="37" spans="1:36" customFormat="1" hidden="1">
      <c r="A37" s="52" t="s">
        <v>134</v>
      </c>
      <c r="B37" s="52"/>
      <c r="C37" s="52"/>
      <c r="D37" s="52"/>
      <c r="E37" s="53"/>
      <c r="F37" s="53"/>
      <c r="G37" s="53" t="s">
        <v>137</v>
      </c>
      <c r="H37" s="53"/>
      <c r="I37" s="54"/>
      <c r="J37" s="55">
        <f t="shared" si="11"/>
        <v>0</v>
      </c>
      <c r="K37" s="56">
        <v>0.92</v>
      </c>
      <c r="L37" s="57">
        <f t="shared" si="12"/>
        <v>0</v>
      </c>
      <c r="M37" s="57">
        <f t="shared" si="13"/>
        <v>0</v>
      </c>
      <c r="N37" s="57">
        <f t="shared" si="14"/>
        <v>0</v>
      </c>
      <c r="O37" s="56"/>
      <c r="P37" s="56" t="s">
        <v>138</v>
      </c>
      <c r="Q37" s="56" t="e">
        <f>IF(R37="PVC",VLOOKUP(O37,Dados!C$3:D$19,2),IF(R37="EPR",VLOOKUP(O37,Dados!C$22:D$38,2)))</f>
        <v>#N/A</v>
      </c>
      <c r="R37" s="56" t="s">
        <v>139</v>
      </c>
      <c r="S37" s="51">
        <f t="shared" si="10"/>
        <v>0</v>
      </c>
      <c r="T37" s="56" t="e">
        <f>IF(R37="PVC",VLOOKUP(Q37,Dados!L$3:M$18,2),IF(R37="EPR",VLOOKUP(Q37,Dados!L$3:N$18,3)))</f>
        <v>#N/A</v>
      </c>
      <c r="U37" s="143" t="s">
        <v>140</v>
      </c>
      <c r="V37" s="62"/>
      <c r="W37" s="145"/>
      <c r="X37" s="140"/>
      <c r="Y37" s="137"/>
      <c r="Z37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7" s="63"/>
      <c r="AB37" s="101" t="e">
        <f t="shared" si="4"/>
        <v>#N/A</v>
      </c>
      <c r="AC37" s="60">
        <v>1</v>
      </c>
      <c r="AD37" s="51">
        <f t="shared" si="5"/>
        <v>0</v>
      </c>
      <c r="AE37" s="56">
        <f t="shared" si="6"/>
        <v>0</v>
      </c>
      <c r="AF37" s="56">
        <f t="shared" si="7"/>
        <v>0</v>
      </c>
      <c r="AG37" s="56">
        <f t="shared" si="8"/>
        <v>0</v>
      </c>
      <c r="AH37" s="89">
        <f t="shared" si="9"/>
        <v>219.39310229205779</v>
      </c>
      <c r="AI37" s="90" t="e">
        <f>VLOOKUP(Q37,Dados!$T$4:$U$19,2,FALSE)</f>
        <v>#N/A</v>
      </c>
      <c r="AJ37" s="91">
        <v>1</v>
      </c>
    </row>
    <row r="38" spans="1:36" customFormat="1" hidden="1">
      <c r="A38" s="61"/>
      <c r="B38" s="52" t="s">
        <v>134</v>
      </c>
      <c r="C38" s="52"/>
      <c r="D38" s="52"/>
      <c r="E38" s="53"/>
      <c r="F38" s="53"/>
      <c r="G38" s="53" t="s">
        <v>137</v>
      </c>
      <c r="H38" s="53"/>
      <c r="I38" s="54"/>
      <c r="J38" s="55">
        <f t="shared" si="11"/>
        <v>0</v>
      </c>
      <c r="K38" s="56">
        <v>0.92</v>
      </c>
      <c r="L38" s="57">
        <f t="shared" si="12"/>
        <v>0</v>
      </c>
      <c r="M38" s="57">
        <f t="shared" si="13"/>
        <v>0</v>
      </c>
      <c r="N38" s="57">
        <f t="shared" si="14"/>
        <v>0</v>
      </c>
      <c r="O38" s="56"/>
      <c r="P38" s="56" t="s">
        <v>138</v>
      </c>
      <c r="Q38" s="56" t="e">
        <f>IF(R38="PVC",VLOOKUP(O38,Dados!C$3:D$19,2),IF(R38="EPR",VLOOKUP(O38,Dados!C$22:D$38,2)))</f>
        <v>#N/A</v>
      </c>
      <c r="R38" s="56" t="s">
        <v>139</v>
      </c>
      <c r="S38" s="51">
        <f t="shared" si="10"/>
        <v>0</v>
      </c>
      <c r="T38" s="56" t="e">
        <f>IF(R38="PVC",VLOOKUP(Q38,Dados!L$3:M$18,2),IF(R38="EPR",VLOOKUP(Q38,Dados!L$3:N$18,3)))</f>
        <v>#N/A</v>
      </c>
      <c r="U38" s="143" t="s">
        <v>140</v>
      </c>
      <c r="V38" s="62"/>
      <c r="W38" s="145"/>
      <c r="X38" s="140"/>
      <c r="Y38" s="137"/>
      <c r="Z38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8" s="63"/>
      <c r="AB38" s="101" t="e">
        <f t="shared" si="4"/>
        <v>#N/A</v>
      </c>
      <c r="AC38" s="60">
        <v>1</v>
      </c>
      <c r="AD38" s="51">
        <f t="shared" si="5"/>
        <v>0</v>
      </c>
      <c r="AE38" s="56">
        <f t="shared" si="6"/>
        <v>0</v>
      </c>
      <c r="AF38" s="56">
        <f t="shared" si="7"/>
        <v>0</v>
      </c>
      <c r="AG38" s="56">
        <f t="shared" si="8"/>
        <v>0</v>
      </c>
      <c r="AH38" s="89">
        <f t="shared" si="9"/>
        <v>219.39310229205779</v>
      </c>
      <c r="AI38" s="90" t="e">
        <f>VLOOKUP(Q38,Dados!$T$4:$U$19,2,FALSE)</f>
        <v>#N/A</v>
      </c>
      <c r="AJ38" s="91">
        <v>1</v>
      </c>
    </row>
    <row r="39" spans="1:36" customFormat="1" hidden="1">
      <c r="A39" s="52"/>
      <c r="B39" s="52"/>
      <c r="C39" s="52" t="s">
        <v>134</v>
      </c>
      <c r="D39" s="52"/>
      <c r="E39" s="53"/>
      <c r="F39" s="53"/>
      <c r="G39" s="53" t="s">
        <v>137</v>
      </c>
      <c r="H39" s="53"/>
      <c r="I39" s="54"/>
      <c r="J39" s="55">
        <f t="shared" si="11"/>
        <v>0</v>
      </c>
      <c r="K39" s="56">
        <v>0.92</v>
      </c>
      <c r="L39" s="57">
        <f t="shared" si="12"/>
        <v>0</v>
      </c>
      <c r="M39" s="57">
        <f t="shared" si="13"/>
        <v>0</v>
      </c>
      <c r="N39" s="57">
        <f t="shared" si="14"/>
        <v>0</v>
      </c>
      <c r="O39" s="56"/>
      <c r="P39" s="56" t="s">
        <v>138</v>
      </c>
      <c r="Q39" s="56" t="e">
        <f>IF(R39="PVC",VLOOKUP(O39,Dados!C$3:D$19,2),IF(R39="EPR",VLOOKUP(O39,Dados!C$22:D$38,2)))</f>
        <v>#N/A</v>
      </c>
      <c r="R39" s="56" t="s">
        <v>139</v>
      </c>
      <c r="S39" s="51">
        <f t="shared" si="10"/>
        <v>0</v>
      </c>
      <c r="T39" s="56" t="e">
        <f>IF(R39="PVC",VLOOKUP(Q39,Dados!L$3:M$18,2),IF(R39="EPR",VLOOKUP(Q39,Dados!L$3:N$18,3)))</f>
        <v>#N/A</v>
      </c>
      <c r="U39" s="143" t="s">
        <v>140</v>
      </c>
      <c r="V39" s="62"/>
      <c r="W39" s="145"/>
      <c r="X39" s="140"/>
      <c r="Y39" s="137"/>
      <c r="Z39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39" s="63"/>
      <c r="AB39" s="101" t="e">
        <f t="shared" si="4"/>
        <v>#N/A</v>
      </c>
      <c r="AC39" s="60">
        <v>1</v>
      </c>
      <c r="AD39" s="51">
        <f t="shared" si="5"/>
        <v>0</v>
      </c>
      <c r="AE39" s="56">
        <f t="shared" si="6"/>
        <v>0</v>
      </c>
      <c r="AF39" s="56">
        <f t="shared" si="7"/>
        <v>0</v>
      </c>
      <c r="AG39" s="56">
        <f t="shared" si="8"/>
        <v>0</v>
      </c>
      <c r="AH39" s="89">
        <f t="shared" si="9"/>
        <v>219.39310229205779</v>
      </c>
      <c r="AI39" s="90" t="e">
        <f>VLOOKUP(Q39,Dados!$T$4:$U$19,2,FALSE)</f>
        <v>#N/A</v>
      </c>
      <c r="AJ39" s="91">
        <v>1</v>
      </c>
    </row>
    <row r="40" spans="1:36" customFormat="1" hidden="1">
      <c r="A40" s="61" t="s">
        <v>134</v>
      </c>
      <c r="B40" s="52"/>
      <c r="C40" s="52"/>
      <c r="D40" s="52"/>
      <c r="E40" s="53"/>
      <c r="F40" s="53"/>
      <c r="G40" s="53" t="s">
        <v>137</v>
      </c>
      <c r="H40" s="53"/>
      <c r="I40" s="54"/>
      <c r="J40" s="55">
        <f t="shared" si="11"/>
        <v>0</v>
      </c>
      <c r="K40" s="56">
        <v>0.92</v>
      </c>
      <c r="L40" s="57">
        <f t="shared" si="12"/>
        <v>0</v>
      </c>
      <c r="M40" s="57">
        <f t="shared" si="13"/>
        <v>0</v>
      </c>
      <c r="N40" s="57">
        <f t="shared" si="14"/>
        <v>0</v>
      </c>
      <c r="O40" s="56"/>
      <c r="P40" s="56" t="s">
        <v>138</v>
      </c>
      <c r="Q40" s="56" t="e">
        <f>IF(R40="PVC",VLOOKUP(O40,Dados!C$3:D$19,2),IF(R40="EPR",VLOOKUP(O40,Dados!C$22:D$38,2)))</f>
        <v>#N/A</v>
      </c>
      <c r="R40" s="56" t="s">
        <v>139</v>
      </c>
      <c r="S40" s="51">
        <f t="shared" si="10"/>
        <v>0</v>
      </c>
      <c r="T40" s="56" t="e">
        <f>IF(R40="PVC",VLOOKUP(Q40,Dados!L$3:M$18,2),IF(R40="EPR",VLOOKUP(Q40,Dados!L$3:N$18,3)))</f>
        <v>#N/A</v>
      </c>
      <c r="U40" s="143" t="s">
        <v>140</v>
      </c>
      <c r="V40" s="62"/>
      <c r="W40" s="145"/>
      <c r="X40" s="140"/>
      <c r="Y40" s="137"/>
      <c r="Z40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0" s="63"/>
      <c r="AB40" s="101" t="e">
        <f t="shared" si="4"/>
        <v>#N/A</v>
      </c>
      <c r="AC40" s="60">
        <v>1</v>
      </c>
      <c r="AD40" s="51">
        <f t="shared" si="5"/>
        <v>0</v>
      </c>
      <c r="AE40" s="56">
        <f t="shared" si="6"/>
        <v>0</v>
      </c>
      <c r="AF40" s="56">
        <f t="shared" si="7"/>
        <v>0</v>
      </c>
      <c r="AG40" s="56">
        <f t="shared" si="8"/>
        <v>0</v>
      </c>
      <c r="AH40" s="89">
        <f t="shared" si="9"/>
        <v>219.39310229205779</v>
      </c>
      <c r="AI40" s="90" t="e">
        <f>VLOOKUP(Q40,Dados!$T$4:$U$19,2,FALSE)</f>
        <v>#N/A</v>
      </c>
      <c r="AJ40" s="91">
        <v>1</v>
      </c>
    </row>
    <row r="41" spans="1:36" customFormat="1" hidden="1">
      <c r="A41" s="52"/>
      <c r="B41" s="52" t="s">
        <v>134</v>
      </c>
      <c r="C41" s="52"/>
      <c r="D41" s="52"/>
      <c r="E41" s="53"/>
      <c r="F41" s="53"/>
      <c r="G41" s="53" t="s">
        <v>137</v>
      </c>
      <c r="H41" s="53"/>
      <c r="I41" s="54"/>
      <c r="J41" s="55">
        <f t="shared" si="11"/>
        <v>0</v>
      </c>
      <c r="K41" s="56">
        <v>0.92</v>
      </c>
      <c r="L41" s="57">
        <f t="shared" si="12"/>
        <v>0</v>
      </c>
      <c r="M41" s="57">
        <f t="shared" si="13"/>
        <v>0</v>
      </c>
      <c r="N41" s="57">
        <f t="shared" si="14"/>
        <v>0</v>
      </c>
      <c r="O41" s="56"/>
      <c r="P41" s="56" t="s">
        <v>138</v>
      </c>
      <c r="Q41" s="56" t="e">
        <f>IF(R41="PVC",VLOOKUP(O41,Dados!C$3:D$19,2),IF(R41="EPR",VLOOKUP(O41,Dados!C$22:D$38,2)))</f>
        <v>#N/A</v>
      </c>
      <c r="R41" s="56" t="s">
        <v>139</v>
      </c>
      <c r="S41" s="51">
        <f t="shared" si="10"/>
        <v>0</v>
      </c>
      <c r="T41" s="56" t="e">
        <f>IF(R41="PVC",VLOOKUP(Q41,Dados!L$3:M$18,2),IF(R41="EPR",VLOOKUP(Q41,Dados!L$3:N$18,3)))</f>
        <v>#N/A</v>
      </c>
      <c r="U41" s="143" t="s">
        <v>140</v>
      </c>
      <c r="V41" s="62"/>
      <c r="W41" s="145"/>
      <c r="X41" s="140"/>
      <c r="Y41" s="137"/>
      <c r="Z41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1" s="63"/>
      <c r="AB41" s="101" t="e">
        <f t="shared" si="4"/>
        <v>#N/A</v>
      </c>
      <c r="AC41" s="60">
        <v>1</v>
      </c>
      <c r="AD41" s="51">
        <f t="shared" si="5"/>
        <v>0</v>
      </c>
      <c r="AE41" s="56">
        <f t="shared" si="6"/>
        <v>0</v>
      </c>
      <c r="AF41" s="56">
        <f t="shared" si="7"/>
        <v>0</v>
      </c>
      <c r="AG41" s="56">
        <f t="shared" si="8"/>
        <v>0</v>
      </c>
      <c r="AH41" s="89">
        <f t="shared" si="9"/>
        <v>219.39310229205779</v>
      </c>
      <c r="AI41" s="90" t="e">
        <f>VLOOKUP(Q41,Dados!$T$4:$U$19,2,FALSE)</f>
        <v>#N/A</v>
      </c>
      <c r="AJ41" s="91">
        <v>1</v>
      </c>
    </row>
    <row r="42" spans="1:36" customFormat="1" hidden="1">
      <c r="A42" s="52"/>
      <c r="B42" s="52"/>
      <c r="C42" s="52" t="s">
        <v>134</v>
      </c>
      <c r="D42" s="52"/>
      <c r="E42" s="53"/>
      <c r="F42" s="53"/>
      <c r="G42" s="53" t="s">
        <v>137</v>
      </c>
      <c r="H42" s="53"/>
      <c r="I42" s="54"/>
      <c r="J42" s="55">
        <f t="shared" si="11"/>
        <v>0</v>
      </c>
      <c r="K42" s="56">
        <v>0.92</v>
      </c>
      <c r="L42" s="57">
        <f t="shared" si="12"/>
        <v>0</v>
      </c>
      <c r="M42" s="57">
        <f t="shared" si="13"/>
        <v>0</v>
      </c>
      <c r="N42" s="57">
        <f t="shared" si="14"/>
        <v>0</v>
      </c>
      <c r="O42" s="56"/>
      <c r="P42" s="56" t="s">
        <v>138</v>
      </c>
      <c r="Q42" s="56" t="e">
        <f>IF(R42="PVC",VLOOKUP(O42,Dados!C$3:D$19,2),IF(R42="EPR",VLOOKUP(O42,Dados!C$22:D$38,2)))</f>
        <v>#N/A</v>
      </c>
      <c r="R42" s="56" t="s">
        <v>139</v>
      </c>
      <c r="S42" s="51">
        <f t="shared" si="10"/>
        <v>0</v>
      </c>
      <c r="T42" s="56" t="e">
        <f>IF(R42="PVC",VLOOKUP(Q42,Dados!L$3:M$18,2),IF(R42="EPR",VLOOKUP(Q42,Dados!L$3:N$18,3)))</f>
        <v>#N/A</v>
      </c>
      <c r="U42" s="143" t="s">
        <v>140</v>
      </c>
      <c r="V42" s="62"/>
      <c r="W42" s="145"/>
      <c r="X42" s="140"/>
      <c r="Y42" s="137"/>
      <c r="Z42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2" s="63"/>
      <c r="AB42" s="101" t="e">
        <f t="shared" si="4"/>
        <v>#N/A</v>
      </c>
      <c r="AC42" s="60">
        <v>1</v>
      </c>
      <c r="AD42" s="51">
        <f t="shared" si="5"/>
        <v>0</v>
      </c>
      <c r="AE42" s="56">
        <f t="shared" si="6"/>
        <v>0</v>
      </c>
      <c r="AF42" s="56">
        <f t="shared" si="7"/>
        <v>0</v>
      </c>
      <c r="AG42" s="56">
        <f t="shared" si="8"/>
        <v>0</v>
      </c>
      <c r="AH42" s="89">
        <f t="shared" si="9"/>
        <v>219.39310229205779</v>
      </c>
      <c r="AI42" s="90" t="e">
        <f>VLOOKUP(Q42,Dados!$T$4:$U$19,2,FALSE)</f>
        <v>#N/A</v>
      </c>
      <c r="AJ42" s="91">
        <v>1</v>
      </c>
    </row>
    <row r="43" spans="1:36" customFormat="1" hidden="1">
      <c r="A43" s="52" t="s">
        <v>134</v>
      </c>
      <c r="B43" s="52"/>
      <c r="C43" s="52"/>
      <c r="D43" s="52"/>
      <c r="E43" s="53"/>
      <c r="F43" s="53"/>
      <c r="G43" s="53" t="s">
        <v>137</v>
      </c>
      <c r="H43" s="53"/>
      <c r="I43" s="54"/>
      <c r="J43" s="55">
        <f t="shared" si="11"/>
        <v>0</v>
      </c>
      <c r="K43" s="56">
        <v>0.92</v>
      </c>
      <c r="L43" s="57">
        <f t="shared" si="12"/>
        <v>0</v>
      </c>
      <c r="M43" s="57">
        <f t="shared" si="13"/>
        <v>0</v>
      </c>
      <c r="N43" s="57">
        <f t="shared" si="14"/>
        <v>0</v>
      </c>
      <c r="O43" s="56"/>
      <c r="P43" s="56" t="s">
        <v>138</v>
      </c>
      <c r="Q43" s="56" t="e">
        <f>IF(R43="PVC",VLOOKUP(O43,Dados!C$3:D$19,2),IF(R43="EPR",VLOOKUP(O43,Dados!C$22:D$38,2)))</f>
        <v>#N/A</v>
      </c>
      <c r="R43" s="56" t="s">
        <v>139</v>
      </c>
      <c r="S43" s="51">
        <f t="shared" si="10"/>
        <v>0</v>
      </c>
      <c r="T43" s="56" t="e">
        <f>IF(R43="PVC",VLOOKUP(Q43,Dados!L$3:M$18,2),IF(R43="EPR",VLOOKUP(Q43,Dados!L$3:N$18,3)))</f>
        <v>#N/A</v>
      </c>
      <c r="U43" s="143" t="s">
        <v>140</v>
      </c>
      <c r="V43" s="62"/>
      <c r="W43" s="145"/>
      <c r="X43" s="140"/>
      <c r="Y43" s="137"/>
      <c r="Z43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3" s="63"/>
      <c r="AB43" s="101" t="e">
        <f t="shared" si="4"/>
        <v>#N/A</v>
      </c>
      <c r="AC43" s="60">
        <v>1</v>
      </c>
      <c r="AD43" s="51">
        <f t="shared" si="5"/>
        <v>0</v>
      </c>
      <c r="AE43" s="56">
        <f t="shared" si="6"/>
        <v>0</v>
      </c>
      <c r="AF43" s="56">
        <f t="shared" si="7"/>
        <v>0</v>
      </c>
      <c r="AG43" s="56">
        <f t="shared" si="8"/>
        <v>0</v>
      </c>
      <c r="AH43" s="89">
        <f t="shared" si="9"/>
        <v>219.39310229205779</v>
      </c>
      <c r="AI43" s="90" t="e">
        <f>VLOOKUP(Q43,Dados!$T$4:$U$19,2,FALSE)</f>
        <v>#N/A</v>
      </c>
      <c r="AJ43" s="91">
        <v>1</v>
      </c>
    </row>
    <row r="44" spans="1:36" customFormat="1" hidden="1">
      <c r="A44" s="61"/>
      <c r="B44" s="52" t="s">
        <v>134</v>
      </c>
      <c r="C44" s="52"/>
      <c r="D44" s="52"/>
      <c r="E44" s="53"/>
      <c r="F44" s="53"/>
      <c r="G44" s="53" t="s">
        <v>137</v>
      </c>
      <c r="H44" s="53"/>
      <c r="I44" s="54"/>
      <c r="J44" s="55">
        <f t="shared" si="11"/>
        <v>0</v>
      </c>
      <c r="K44" s="56">
        <v>0.92</v>
      </c>
      <c r="L44" s="57">
        <f t="shared" si="12"/>
        <v>0</v>
      </c>
      <c r="M44" s="57">
        <f t="shared" si="13"/>
        <v>0</v>
      </c>
      <c r="N44" s="57">
        <f t="shared" si="14"/>
        <v>0</v>
      </c>
      <c r="O44" s="56"/>
      <c r="P44" s="56" t="s">
        <v>138</v>
      </c>
      <c r="Q44" s="56" t="e">
        <f>IF(R44="PVC",VLOOKUP(O44,Dados!C$3:D$19,2),IF(R44="EPR",VLOOKUP(O44,Dados!C$22:D$38,2)))</f>
        <v>#N/A</v>
      </c>
      <c r="R44" s="56" t="s">
        <v>139</v>
      </c>
      <c r="S44" s="51">
        <f t="shared" si="10"/>
        <v>0</v>
      </c>
      <c r="T44" s="56" t="e">
        <f>IF(R44="PVC",VLOOKUP(Q44,Dados!L$3:M$18,2),IF(R44="EPR",VLOOKUP(Q44,Dados!L$3:N$18,3)))</f>
        <v>#N/A</v>
      </c>
      <c r="U44" s="143" t="s">
        <v>140</v>
      </c>
      <c r="V44" s="62"/>
      <c r="W44" s="145"/>
      <c r="X44" s="140"/>
      <c r="Y44" s="137"/>
      <c r="Z44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4" s="63"/>
      <c r="AB44" s="101" t="e">
        <f t="shared" si="4"/>
        <v>#N/A</v>
      </c>
      <c r="AC44" s="60">
        <v>1</v>
      </c>
      <c r="AD44" s="51">
        <f t="shared" si="5"/>
        <v>0</v>
      </c>
      <c r="AE44" s="56">
        <f t="shared" si="6"/>
        <v>0</v>
      </c>
      <c r="AF44" s="56">
        <f t="shared" si="7"/>
        <v>0</v>
      </c>
      <c r="AG44" s="56">
        <f t="shared" si="8"/>
        <v>0</v>
      </c>
      <c r="AH44" s="89">
        <f t="shared" si="9"/>
        <v>219.39310229205779</v>
      </c>
      <c r="AI44" s="90" t="e">
        <f>VLOOKUP(Q44,Dados!$T$4:$U$19,2,FALSE)</f>
        <v>#N/A</v>
      </c>
      <c r="AJ44" s="91">
        <v>1</v>
      </c>
    </row>
    <row r="45" spans="1:36" customFormat="1" hidden="1">
      <c r="A45" s="52"/>
      <c r="B45" s="52"/>
      <c r="C45" s="52" t="s">
        <v>134</v>
      </c>
      <c r="D45" s="52"/>
      <c r="E45" s="53"/>
      <c r="F45" s="53"/>
      <c r="G45" s="53" t="s">
        <v>137</v>
      </c>
      <c r="H45" s="53"/>
      <c r="I45" s="54"/>
      <c r="J45" s="55">
        <f t="shared" si="11"/>
        <v>0</v>
      </c>
      <c r="K45" s="56">
        <v>0.92</v>
      </c>
      <c r="L45" s="57">
        <f t="shared" si="12"/>
        <v>0</v>
      </c>
      <c r="M45" s="57">
        <f t="shared" si="13"/>
        <v>0</v>
      </c>
      <c r="N45" s="57">
        <f t="shared" si="14"/>
        <v>0</v>
      </c>
      <c r="O45" s="56"/>
      <c r="P45" s="56" t="s">
        <v>138</v>
      </c>
      <c r="Q45" s="56" t="e">
        <f>IF(R45="PVC",VLOOKUP(O45,Dados!C$3:D$19,2),IF(R45="EPR",VLOOKUP(O45,Dados!C$22:D$38,2)))</f>
        <v>#N/A</v>
      </c>
      <c r="R45" s="56" t="s">
        <v>139</v>
      </c>
      <c r="S45" s="51">
        <f t="shared" si="10"/>
        <v>0</v>
      </c>
      <c r="T45" s="56" t="e">
        <f>IF(R45="PVC",VLOOKUP(Q45,Dados!L$3:M$18,2),IF(R45="EPR",VLOOKUP(Q45,Dados!L$3:N$18,3)))</f>
        <v>#N/A</v>
      </c>
      <c r="U45" s="143" t="s">
        <v>140</v>
      </c>
      <c r="V45" s="62"/>
      <c r="W45" s="145"/>
      <c r="X45" s="140"/>
      <c r="Y45" s="137"/>
      <c r="Z45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5" s="63"/>
      <c r="AB45" s="101" t="e">
        <f t="shared" si="4"/>
        <v>#N/A</v>
      </c>
      <c r="AC45" s="60">
        <v>1</v>
      </c>
      <c r="AD45" s="51">
        <f t="shared" si="5"/>
        <v>0</v>
      </c>
      <c r="AE45" s="56">
        <f t="shared" si="6"/>
        <v>0</v>
      </c>
      <c r="AF45" s="56">
        <f t="shared" si="7"/>
        <v>0</v>
      </c>
      <c r="AG45" s="56">
        <f t="shared" si="8"/>
        <v>0</v>
      </c>
      <c r="AH45" s="89">
        <f t="shared" si="9"/>
        <v>219.39310229205779</v>
      </c>
      <c r="AI45" s="90" t="e">
        <f>VLOOKUP(Q45,Dados!$T$4:$U$19,2,FALSE)</f>
        <v>#N/A</v>
      </c>
      <c r="AJ45" s="91">
        <v>1</v>
      </c>
    </row>
    <row r="46" spans="1:36" customFormat="1" hidden="1">
      <c r="A46" s="61" t="s">
        <v>134</v>
      </c>
      <c r="B46" s="52"/>
      <c r="C46" s="52"/>
      <c r="D46" s="52"/>
      <c r="E46" s="53"/>
      <c r="F46" s="53"/>
      <c r="G46" s="53" t="s">
        <v>137</v>
      </c>
      <c r="H46" s="53"/>
      <c r="I46" s="54"/>
      <c r="J46" s="55">
        <f t="shared" si="11"/>
        <v>0</v>
      </c>
      <c r="K46" s="56">
        <v>0.92</v>
      </c>
      <c r="L46" s="57">
        <f t="shared" si="12"/>
        <v>0</v>
      </c>
      <c r="M46" s="57">
        <f t="shared" si="13"/>
        <v>0</v>
      </c>
      <c r="N46" s="57">
        <f t="shared" si="14"/>
        <v>0</v>
      </c>
      <c r="O46" s="56"/>
      <c r="P46" s="56" t="s">
        <v>138</v>
      </c>
      <c r="Q46" s="56" t="e">
        <f>IF(R46="PVC",VLOOKUP(O46,Dados!C$3:D$19,2),IF(R46="EPR",VLOOKUP(O46,Dados!C$22:D$38,2)))</f>
        <v>#N/A</v>
      </c>
      <c r="R46" s="56" t="s">
        <v>139</v>
      </c>
      <c r="S46" s="51">
        <f t="shared" si="10"/>
        <v>0</v>
      </c>
      <c r="T46" s="56" t="e">
        <f>IF(R46="PVC",VLOOKUP(Q46,Dados!L$3:M$18,2),IF(R46="EPR",VLOOKUP(Q46,Dados!L$3:N$18,3)))</f>
        <v>#N/A</v>
      </c>
      <c r="U46" s="143" t="s">
        <v>140</v>
      </c>
      <c r="V46" s="62"/>
      <c r="W46" s="145"/>
      <c r="X46" s="140"/>
      <c r="Y46" s="137"/>
      <c r="Z46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6" s="63"/>
      <c r="AB46" s="101" t="e">
        <f t="shared" si="4"/>
        <v>#N/A</v>
      </c>
      <c r="AC46" s="60">
        <v>1</v>
      </c>
      <c r="AD46" s="51">
        <f t="shared" si="5"/>
        <v>0</v>
      </c>
      <c r="AE46" s="56">
        <f t="shared" si="6"/>
        <v>0</v>
      </c>
      <c r="AF46" s="56">
        <f t="shared" si="7"/>
        <v>0</v>
      </c>
      <c r="AG46" s="56">
        <f t="shared" si="8"/>
        <v>0</v>
      </c>
      <c r="AH46" s="89">
        <f t="shared" si="9"/>
        <v>219.39310229205779</v>
      </c>
      <c r="AI46" s="90" t="e">
        <f>VLOOKUP(Q46,Dados!$T$4:$U$19,2,FALSE)</f>
        <v>#N/A</v>
      </c>
      <c r="AJ46" s="91">
        <v>1</v>
      </c>
    </row>
    <row r="47" spans="1:36" customFormat="1" hidden="1">
      <c r="A47" s="52"/>
      <c r="B47" s="52" t="s">
        <v>134</v>
      </c>
      <c r="C47" s="52"/>
      <c r="D47" s="52"/>
      <c r="E47" s="53"/>
      <c r="F47" s="53"/>
      <c r="G47" s="53" t="s">
        <v>137</v>
      </c>
      <c r="H47" s="53"/>
      <c r="I47" s="54"/>
      <c r="J47" s="55">
        <f t="shared" si="11"/>
        <v>0</v>
      </c>
      <c r="K47" s="56">
        <v>0.92</v>
      </c>
      <c r="L47" s="57">
        <f t="shared" si="12"/>
        <v>0</v>
      </c>
      <c r="M47" s="57">
        <f t="shared" si="13"/>
        <v>0</v>
      </c>
      <c r="N47" s="57">
        <f t="shared" si="14"/>
        <v>0</v>
      </c>
      <c r="O47" s="56"/>
      <c r="P47" s="56" t="s">
        <v>138</v>
      </c>
      <c r="Q47" s="56" t="e">
        <f>IF(R47="PVC",VLOOKUP(O47,Dados!C$3:D$19,2),IF(R47="EPR",VLOOKUP(O47,Dados!C$22:D$38,2)))</f>
        <v>#N/A</v>
      </c>
      <c r="R47" s="56" t="s">
        <v>139</v>
      </c>
      <c r="S47" s="51">
        <f t="shared" si="10"/>
        <v>0</v>
      </c>
      <c r="T47" s="56" t="e">
        <f>IF(R47="PVC",VLOOKUP(Q47,Dados!L$3:M$18,2),IF(R47="EPR",VLOOKUP(Q47,Dados!L$3:N$18,3)))</f>
        <v>#N/A</v>
      </c>
      <c r="U47" s="143" t="s">
        <v>140</v>
      </c>
      <c r="V47" s="62"/>
      <c r="W47" s="145"/>
      <c r="X47" s="140"/>
      <c r="Y47" s="137"/>
      <c r="Z47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7" s="63"/>
      <c r="AB47" s="101" t="e">
        <f t="shared" si="4"/>
        <v>#N/A</v>
      </c>
      <c r="AC47" s="60">
        <v>1</v>
      </c>
      <c r="AD47" s="51">
        <f t="shared" si="5"/>
        <v>0</v>
      </c>
      <c r="AE47" s="56">
        <f t="shared" si="6"/>
        <v>0</v>
      </c>
      <c r="AF47" s="56">
        <f t="shared" si="7"/>
        <v>0</v>
      </c>
      <c r="AG47" s="56">
        <f t="shared" si="8"/>
        <v>0</v>
      </c>
      <c r="AH47" s="89">
        <f t="shared" si="9"/>
        <v>219.39310229205779</v>
      </c>
      <c r="AI47" s="90" t="e">
        <f>VLOOKUP(Q47,Dados!$T$4:$U$19,2,FALSE)</f>
        <v>#N/A</v>
      </c>
      <c r="AJ47" s="91">
        <v>1</v>
      </c>
    </row>
    <row r="48" spans="1:36" customFormat="1" hidden="1">
      <c r="A48" s="52"/>
      <c r="B48" s="52"/>
      <c r="C48" s="52" t="s">
        <v>134</v>
      </c>
      <c r="D48" s="52"/>
      <c r="E48" s="53"/>
      <c r="F48" s="53"/>
      <c r="G48" s="53" t="s">
        <v>137</v>
      </c>
      <c r="H48" s="53"/>
      <c r="I48" s="54"/>
      <c r="J48" s="55">
        <f t="shared" si="11"/>
        <v>0</v>
      </c>
      <c r="K48" s="56">
        <v>0.92</v>
      </c>
      <c r="L48" s="57">
        <f t="shared" si="12"/>
        <v>0</v>
      </c>
      <c r="M48" s="57">
        <f t="shared" si="13"/>
        <v>0</v>
      </c>
      <c r="N48" s="57">
        <f t="shared" si="14"/>
        <v>0</v>
      </c>
      <c r="O48" s="56"/>
      <c r="P48" s="56" t="s">
        <v>138</v>
      </c>
      <c r="Q48" s="56" t="e">
        <f>IF(R48="PVC",VLOOKUP(O48,Dados!C$3:D$19,2),IF(R48="EPR",VLOOKUP(O48,Dados!C$22:D$38,2)))</f>
        <v>#N/A</v>
      </c>
      <c r="R48" s="56" t="s">
        <v>139</v>
      </c>
      <c r="S48" s="51">
        <f t="shared" si="10"/>
        <v>0</v>
      </c>
      <c r="T48" s="56" t="e">
        <f>IF(R48="PVC",VLOOKUP(Q48,Dados!L$3:M$18,2),IF(R48="EPR",VLOOKUP(Q48,Dados!L$3:N$18,3)))</f>
        <v>#N/A</v>
      </c>
      <c r="U48" s="143" t="s">
        <v>140</v>
      </c>
      <c r="V48" s="62"/>
      <c r="W48" s="145"/>
      <c r="X48" s="140"/>
      <c r="Y48" s="137"/>
      <c r="Z48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8" s="63"/>
      <c r="AB48" s="101" t="e">
        <f t="shared" si="4"/>
        <v>#N/A</v>
      </c>
      <c r="AC48" s="60">
        <v>1</v>
      </c>
      <c r="AD48" s="51">
        <f t="shared" si="5"/>
        <v>0</v>
      </c>
      <c r="AE48" s="56">
        <f t="shared" si="6"/>
        <v>0</v>
      </c>
      <c r="AF48" s="56">
        <f t="shared" si="7"/>
        <v>0</v>
      </c>
      <c r="AG48" s="56">
        <f t="shared" si="8"/>
        <v>0</v>
      </c>
      <c r="AH48" s="89">
        <f t="shared" si="9"/>
        <v>219.39310229205779</v>
      </c>
      <c r="AI48" s="90" t="e">
        <f>VLOOKUP(Q48,Dados!$T$4:$U$19,2,FALSE)</f>
        <v>#N/A</v>
      </c>
      <c r="AJ48" s="91">
        <v>1</v>
      </c>
    </row>
    <row r="49" spans="1:36" customFormat="1" hidden="1">
      <c r="A49" s="52" t="s">
        <v>134</v>
      </c>
      <c r="B49" s="52"/>
      <c r="C49" s="52"/>
      <c r="D49" s="52"/>
      <c r="E49" s="53"/>
      <c r="F49" s="53"/>
      <c r="G49" s="53" t="s">
        <v>137</v>
      </c>
      <c r="H49" s="53"/>
      <c r="I49" s="54"/>
      <c r="J49" s="55">
        <f t="shared" si="11"/>
        <v>0</v>
      </c>
      <c r="K49" s="56">
        <v>0.92</v>
      </c>
      <c r="L49" s="57">
        <f t="shared" si="12"/>
        <v>0</v>
      </c>
      <c r="M49" s="57">
        <f t="shared" si="13"/>
        <v>0</v>
      </c>
      <c r="N49" s="57">
        <f t="shared" si="14"/>
        <v>0</v>
      </c>
      <c r="O49" s="56"/>
      <c r="P49" s="56" t="s">
        <v>138</v>
      </c>
      <c r="Q49" s="56" t="e">
        <f>IF(R49="PVC",VLOOKUP(O49,Dados!C$3:D$19,2),IF(R49="EPR",VLOOKUP(O49,Dados!C$22:D$38,2)))</f>
        <v>#N/A</v>
      </c>
      <c r="R49" s="56" t="s">
        <v>139</v>
      </c>
      <c r="S49" s="51">
        <f t="shared" si="10"/>
        <v>0</v>
      </c>
      <c r="T49" s="56" t="e">
        <f>IF(R49="PVC",VLOOKUP(Q49,Dados!L$3:M$18,2),IF(R49="EPR",VLOOKUP(Q49,Dados!L$3:N$18,3)))</f>
        <v>#N/A</v>
      </c>
      <c r="U49" s="143" t="s">
        <v>140</v>
      </c>
      <c r="V49" s="62"/>
      <c r="W49" s="145"/>
      <c r="X49" s="140"/>
      <c r="Y49" s="137"/>
      <c r="Z49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49" s="63"/>
      <c r="AB49" s="101" t="e">
        <f t="shared" si="4"/>
        <v>#N/A</v>
      </c>
      <c r="AC49" s="60">
        <v>1</v>
      </c>
      <c r="AD49" s="51">
        <f t="shared" si="5"/>
        <v>0</v>
      </c>
      <c r="AE49" s="56">
        <f t="shared" si="6"/>
        <v>0</v>
      </c>
      <c r="AF49" s="56">
        <f t="shared" si="7"/>
        <v>0</v>
      </c>
      <c r="AG49" s="56">
        <f t="shared" si="8"/>
        <v>0</v>
      </c>
      <c r="AH49" s="89">
        <f t="shared" si="9"/>
        <v>219.39310229205779</v>
      </c>
      <c r="AI49" s="90" t="e">
        <f>VLOOKUP(Q49,Dados!$T$4:$U$19,2,FALSE)</f>
        <v>#N/A</v>
      </c>
      <c r="AJ49" s="91">
        <v>1</v>
      </c>
    </row>
    <row r="50" spans="1:36" customFormat="1" hidden="1">
      <c r="A50" s="61"/>
      <c r="B50" s="52" t="s">
        <v>134</v>
      </c>
      <c r="C50" s="52"/>
      <c r="D50" s="52"/>
      <c r="E50" s="53"/>
      <c r="F50" s="53"/>
      <c r="G50" s="53" t="s">
        <v>137</v>
      </c>
      <c r="H50" s="53"/>
      <c r="I50" s="54"/>
      <c r="J50" s="55">
        <f t="shared" si="11"/>
        <v>0</v>
      </c>
      <c r="K50" s="56">
        <v>0.92</v>
      </c>
      <c r="L50" s="57">
        <f t="shared" si="12"/>
        <v>0</v>
      </c>
      <c r="M50" s="57">
        <f t="shared" si="13"/>
        <v>0</v>
      </c>
      <c r="N50" s="57">
        <f t="shared" si="14"/>
        <v>0</v>
      </c>
      <c r="O50" s="56"/>
      <c r="P50" s="56" t="s">
        <v>138</v>
      </c>
      <c r="Q50" s="56" t="e">
        <f>IF(R50="PVC",VLOOKUP(O50,Dados!C$3:D$19,2),IF(R50="EPR",VLOOKUP(O50,Dados!C$22:D$38,2)))</f>
        <v>#N/A</v>
      </c>
      <c r="R50" s="56" t="s">
        <v>139</v>
      </c>
      <c r="S50" s="51">
        <f t="shared" si="10"/>
        <v>0</v>
      </c>
      <c r="T50" s="56" t="e">
        <f>IF(R50="PVC",VLOOKUP(Q50,Dados!L$3:M$18,2),IF(R50="EPR",VLOOKUP(Q50,Dados!L$3:N$18,3)))</f>
        <v>#N/A</v>
      </c>
      <c r="U50" s="143" t="s">
        <v>140</v>
      </c>
      <c r="V50" s="62"/>
      <c r="W50" s="145"/>
      <c r="X50" s="140"/>
      <c r="Y50" s="137"/>
      <c r="Z50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0" s="63"/>
      <c r="AB50" s="101" t="e">
        <f t="shared" si="4"/>
        <v>#N/A</v>
      </c>
      <c r="AC50" s="60">
        <v>1</v>
      </c>
      <c r="AD50" s="51">
        <f t="shared" si="5"/>
        <v>0</v>
      </c>
      <c r="AE50" s="56">
        <f t="shared" si="6"/>
        <v>0</v>
      </c>
      <c r="AF50" s="56">
        <f t="shared" si="7"/>
        <v>0</v>
      </c>
      <c r="AG50" s="56">
        <f t="shared" si="8"/>
        <v>0</v>
      </c>
      <c r="AH50" s="89">
        <f t="shared" si="9"/>
        <v>219.39310229205779</v>
      </c>
      <c r="AI50" s="90" t="e">
        <f>VLOOKUP(Q50,Dados!$T$4:$U$19,2,FALSE)</f>
        <v>#N/A</v>
      </c>
      <c r="AJ50" s="91">
        <v>1</v>
      </c>
    </row>
    <row r="51" spans="1:36" customFormat="1" hidden="1">
      <c r="A51" s="52"/>
      <c r="B51" s="52"/>
      <c r="C51" s="52" t="s">
        <v>134</v>
      </c>
      <c r="D51" s="52"/>
      <c r="E51" s="53"/>
      <c r="F51" s="53"/>
      <c r="G51" s="53" t="s">
        <v>137</v>
      </c>
      <c r="H51" s="53"/>
      <c r="I51" s="54"/>
      <c r="J51" s="55">
        <f t="shared" si="11"/>
        <v>0</v>
      </c>
      <c r="K51" s="56">
        <v>0.92</v>
      </c>
      <c r="L51" s="57">
        <f t="shared" si="12"/>
        <v>0</v>
      </c>
      <c r="M51" s="57">
        <f t="shared" si="13"/>
        <v>0</v>
      </c>
      <c r="N51" s="57">
        <f t="shared" si="14"/>
        <v>0</v>
      </c>
      <c r="O51" s="56"/>
      <c r="P51" s="56" t="s">
        <v>138</v>
      </c>
      <c r="Q51" s="56" t="e">
        <f>IF(R51="PVC",VLOOKUP(O51,Dados!C$3:D$19,2),IF(R51="EPR",VLOOKUP(O51,Dados!C$22:D$38,2)))</f>
        <v>#N/A</v>
      </c>
      <c r="R51" s="56" t="s">
        <v>139</v>
      </c>
      <c r="S51" s="51">
        <f t="shared" si="10"/>
        <v>0</v>
      </c>
      <c r="T51" s="56" t="e">
        <f>IF(R51="PVC",VLOOKUP(Q51,Dados!L$3:M$18,2),IF(R51="EPR",VLOOKUP(Q51,Dados!L$3:N$18,3)))</f>
        <v>#N/A</v>
      </c>
      <c r="U51" s="143" t="s">
        <v>140</v>
      </c>
      <c r="V51" s="62"/>
      <c r="W51" s="145"/>
      <c r="X51" s="140"/>
      <c r="Y51" s="137"/>
      <c r="Z51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1" s="63"/>
      <c r="AB51" s="101" t="e">
        <f t="shared" ref="AB51:AB77" si="15">S51*AA51*AI51/AH51/AJ51/1000</f>
        <v>#N/A</v>
      </c>
      <c r="AC51" s="60">
        <v>1</v>
      </c>
      <c r="AD51" s="51">
        <f t="shared" ref="AD51:AD77" si="16">IF(G51="F+N",I51/H$4,IF(G51="2F",I51/G$4, IF(G51="3F",I51/G$4/SQRT(3))))*AC51</f>
        <v>0</v>
      </c>
      <c r="AE51" s="56">
        <f t="shared" ref="AE51:AE77" si="17">IF(A51="",0,$I51/COUNTA(A51:C51)*$AC51)</f>
        <v>0</v>
      </c>
      <c r="AF51" s="56">
        <f t="shared" ref="AF51:AF77" si="18">IF(B51="",0,$I51/COUNTA(A51:C51)*$AC51)</f>
        <v>0</v>
      </c>
      <c r="AG51" s="56">
        <f t="shared" ref="AG51:AG77" si="19">IF(C51="",0,$I51/COUNTA(A51:C51)*$AC51)</f>
        <v>0</v>
      </c>
      <c r="AH51" s="89">
        <f t="shared" ref="AH51:AH77" si="20">IF(G51="3F",$G$4,IF(G51="2F",$G$4,IF(G51="F+N",$H$4)))</f>
        <v>219.39310229205779</v>
      </c>
      <c r="AI51" s="90" t="e">
        <f>VLOOKUP(Q51,Dados!$T$4:$U$19,2,FALSE)</f>
        <v>#N/A</v>
      </c>
      <c r="AJ51" s="91">
        <v>1</v>
      </c>
    </row>
    <row r="52" spans="1:36" customFormat="1" hidden="1">
      <c r="A52" s="61" t="s">
        <v>134</v>
      </c>
      <c r="B52" s="52"/>
      <c r="C52" s="52"/>
      <c r="D52" s="52"/>
      <c r="E52" s="53"/>
      <c r="F52" s="53"/>
      <c r="G52" s="53" t="s">
        <v>137</v>
      </c>
      <c r="H52" s="53"/>
      <c r="I52" s="54"/>
      <c r="J52" s="55">
        <f t="shared" ref="J52:J54" si="21">I52*K52</f>
        <v>0</v>
      </c>
      <c r="K52" s="56">
        <v>0.92</v>
      </c>
      <c r="L52" s="57">
        <f t="shared" ref="L52:L54" si="22">IF(A52="",0,$I52/COUNTA(A52:C52))</f>
        <v>0</v>
      </c>
      <c r="M52" s="57">
        <f t="shared" ref="M52:M54" si="23">IF(B52="",0,$I52/COUNTA(A52:C52))</f>
        <v>0</v>
      </c>
      <c r="N52" s="57">
        <f t="shared" ref="N52:N54" si="24">IF(C52="",0,$I52/COUNTA(A52:C52))</f>
        <v>0</v>
      </c>
      <c r="O52" s="56"/>
      <c r="P52" s="56" t="s">
        <v>138</v>
      </c>
      <c r="Q52" s="56" t="e">
        <f>IF(R52="PVC",VLOOKUP(O52,Dados!C$3:D$19,2),IF(R52="EPR",VLOOKUP(O52,Dados!C$22:D$38,2)))</f>
        <v>#N/A</v>
      </c>
      <c r="R52" s="56" t="s">
        <v>139</v>
      </c>
      <c r="S52" s="51">
        <f t="shared" ref="S52:S54" si="25">IF(G52="F+N",I52/H$4,IF(G52="2F",I52/G$4, IF(G52="3F",I52/G$4/SQRT(3))))</f>
        <v>0</v>
      </c>
      <c r="T52" s="56" t="e">
        <f>IF(R52="PVC",VLOOKUP(Q52,Dados!L$3:M$18,2),IF(R52="EPR",VLOOKUP(Q52,Dados!L$3:N$18,3)))</f>
        <v>#N/A</v>
      </c>
      <c r="U52" s="143" t="s">
        <v>140</v>
      </c>
      <c r="V52" s="62"/>
      <c r="W52" s="145"/>
      <c r="X52" s="140"/>
      <c r="Y52" s="137"/>
      <c r="Z52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2" s="63"/>
      <c r="AB52" s="101" t="e">
        <f t="shared" si="15"/>
        <v>#N/A</v>
      </c>
      <c r="AC52" s="60">
        <v>1</v>
      </c>
      <c r="AD52" s="51">
        <f t="shared" si="16"/>
        <v>0</v>
      </c>
      <c r="AE52" s="56">
        <f t="shared" si="17"/>
        <v>0</v>
      </c>
      <c r="AF52" s="56">
        <f t="shared" si="18"/>
        <v>0</v>
      </c>
      <c r="AG52" s="56">
        <f t="shared" si="19"/>
        <v>0</v>
      </c>
      <c r="AH52" s="89">
        <f t="shared" si="20"/>
        <v>219.39310229205779</v>
      </c>
      <c r="AI52" s="90" t="e">
        <f>VLOOKUP(Q52,Dados!$T$4:$U$19,2,FALSE)</f>
        <v>#N/A</v>
      </c>
      <c r="AJ52" s="91">
        <v>1</v>
      </c>
    </row>
    <row r="53" spans="1:36" customFormat="1" hidden="1">
      <c r="A53" s="52"/>
      <c r="B53" s="52" t="s">
        <v>134</v>
      </c>
      <c r="C53" s="52"/>
      <c r="D53" s="52"/>
      <c r="E53" s="53"/>
      <c r="F53" s="53"/>
      <c r="G53" s="53" t="s">
        <v>137</v>
      </c>
      <c r="H53" s="53"/>
      <c r="I53" s="54"/>
      <c r="J53" s="55">
        <f t="shared" si="21"/>
        <v>0</v>
      </c>
      <c r="K53" s="56">
        <v>0.92</v>
      </c>
      <c r="L53" s="57">
        <f t="shared" si="22"/>
        <v>0</v>
      </c>
      <c r="M53" s="57">
        <f t="shared" si="23"/>
        <v>0</v>
      </c>
      <c r="N53" s="57">
        <f t="shared" si="24"/>
        <v>0</v>
      </c>
      <c r="O53" s="56"/>
      <c r="P53" s="56" t="s">
        <v>138</v>
      </c>
      <c r="Q53" s="56" t="e">
        <f>IF(R53="PVC",VLOOKUP(O53,Dados!C$3:D$19,2),IF(R53="EPR",VLOOKUP(O53,Dados!C$22:D$38,2)))</f>
        <v>#N/A</v>
      </c>
      <c r="R53" s="56" t="s">
        <v>139</v>
      </c>
      <c r="S53" s="51">
        <f t="shared" si="25"/>
        <v>0</v>
      </c>
      <c r="T53" s="56" t="e">
        <f>IF(R53="PVC",VLOOKUP(Q53,Dados!L$3:M$18,2),IF(R53="EPR",VLOOKUP(Q53,Dados!L$3:N$18,3)))</f>
        <v>#N/A</v>
      </c>
      <c r="U53" s="143" t="s">
        <v>140</v>
      </c>
      <c r="V53" s="62"/>
      <c r="W53" s="145"/>
      <c r="X53" s="140"/>
      <c r="Y53" s="137"/>
      <c r="Z53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3" s="63"/>
      <c r="AB53" s="101" t="e">
        <f t="shared" si="15"/>
        <v>#N/A</v>
      </c>
      <c r="AC53" s="60">
        <v>1</v>
      </c>
      <c r="AD53" s="51">
        <f t="shared" si="16"/>
        <v>0</v>
      </c>
      <c r="AE53" s="56">
        <f t="shared" si="17"/>
        <v>0</v>
      </c>
      <c r="AF53" s="56">
        <f t="shared" si="18"/>
        <v>0</v>
      </c>
      <c r="AG53" s="56">
        <f t="shared" si="19"/>
        <v>0</v>
      </c>
      <c r="AH53" s="89">
        <f t="shared" si="20"/>
        <v>219.39310229205779</v>
      </c>
      <c r="AI53" s="90" t="e">
        <f>VLOOKUP(Q53,Dados!$T$4:$U$19,2,FALSE)</f>
        <v>#N/A</v>
      </c>
      <c r="AJ53" s="91">
        <v>1</v>
      </c>
    </row>
    <row r="54" spans="1:36" customFormat="1" hidden="1">
      <c r="A54" s="52"/>
      <c r="B54" s="52"/>
      <c r="C54" s="52" t="s">
        <v>134</v>
      </c>
      <c r="D54" s="52"/>
      <c r="E54" s="53"/>
      <c r="F54" s="53"/>
      <c r="G54" s="53" t="s">
        <v>137</v>
      </c>
      <c r="H54" s="53"/>
      <c r="I54" s="54"/>
      <c r="J54" s="55">
        <f t="shared" si="21"/>
        <v>0</v>
      </c>
      <c r="K54" s="56">
        <v>0.92</v>
      </c>
      <c r="L54" s="57">
        <f t="shared" si="22"/>
        <v>0</v>
      </c>
      <c r="M54" s="57">
        <f t="shared" si="23"/>
        <v>0</v>
      </c>
      <c r="N54" s="57">
        <f t="shared" si="24"/>
        <v>0</v>
      </c>
      <c r="O54" s="56"/>
      <c r="P54" s="56" t="s">
        <v>138</v>
      </c>
      <c r="Q54" s="56" t="e">
        <f>IF(R54="PVC",VLOOKUP(O54,Dados!C$3:D$19,2),IF(R54="EPR",VLOOKUP(O54,Dados!C$22:D$38,2)))</f>
        <v>#N/A</v>
      </c>
      <c r="R54" s="56" t="s">
        <v>139</v>
      </c>
      <c r="S54" s="51">
        <f t="shared" si="25"/>
        <v>0</v>
      </c>
      <c r="T54" s="56" t="e">
        <f>IF(R54="PVC",VLOOKUP(Q54,Dados!L$3:M$18,2),IF(R54="EPR",VLOOKUP(Q54,Dados!L$3:N$18,3)))</f>
        <v>#N/A</v>
      </c>
      <c r="U54" s="143" t="s">
        <v>140</v>
      </c>
      <c r="V54" s="62"/>
      <c r="W54" s="145"/>
      <c r="X54" s="140"/>
      <c r="Y54" s="137"/>
      <c r="Z54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4" s="63"/>
      <c r="AB54" s="101" t="e">
        <f t="shared" si="15"/>
        <v>#N/A</v>
      </c>
      <c r="AC54" s="60">
        <v>1</v>
      </c>
      <c r="AD54" s="51">
        <f t="shared" si="16"/>
        <v>0</v>
      </c>
      <c r="AE54" s="56">
        <f t="shared" si="17"/>
        <v>0</v>
      </c>
      <c r="AF54" s="56">
        <f t="shared" si="18"/>
        <v>0</v>
      </c>
      <c r="AG54" s="56">
        <f t="shared" si="19"/>
        <v>0</v>
      </c>
      <c r="AH54" s="89">
        <f t="shared" si="20"/>
        <v>219.39310229205779</v>
      </c>
      <c r="AI54" s="90" t="e">
        <f>VLOOKUP(Q54,Dados!$T$4:$U$19,2,FALSE)</f>
        <v>#N/A</v>
      </c>
      <c r="AJ54" s="91">
        <v>1</v>
      </c>
    </row>
    <row r="55" spans="1:36" customFormat="1" hidden="1">
      <c r="A55" s="52" t="s">
        <v>134</v>
      </c>
      <c r="B55" s="52"/>
      <c r="C55" s="52"/>
      <c r="D55" s="52"/>
      <c r="E55" s="53"/>
      <c r="F55" s="53"/>
      <c r="G55" s="53" t="s">
        <v>137</v>
      </c>
      <c r="H55" s="53"/>
      <c r="I55" s="54"/>
      <c r="J55" s="55">
        <f t="shared" si="11"/>
        <v>0</v>
      </c>
      <c r="K55" s="56">
        <v>0.92</v>
      </c>
      <c r="L55" s="57">
        <f t="shared" si="12"/>
        <v>0</v>
      </c>
      <c r="M55" s="57">
        <f t="shared" si="13"/>
        <v>0</v>
      </c>
      <c r="N55" s="57">
        <f t="shared" si="14"/>
        <v>0</v>
      </c>
      <c r="O55" s="56"/>
      <c r="P55" s="56" t="s">
        <v>138</v>
      </c>
      <c r="Q55" s="56" t="e">
        <f>IF(R55="PVC",VLOOKUP(O55,Dados!C$3:D$19,2),IF(R55="EPR",VLOOKUP(O55,Dados!C$22:D$38,2)))</f>
        <v>#N/A</v>
      </c>
      <c r="R55" s="56" t="s">
        <v>139</v>
      </c>
      <c r="S55" s="51">
        <f t="shared" si="10"/>
        <v>0</v>
      </c>
      <c r="T55" s="56" t="e">
        <f>IF(R55="PVC",VLOOKUP(Q55,Dados!L$3:M$18,2),IF(R55="EPR",VLOOKUP(Q55,Dados!L$3:N$18,3)))</f>
        <v>#N/A</v>
      </c>
      <c r="U55" s="143" t="s">
        <v>140</v>
      </c>
      <c r="V55" s="62"/>
      <c r="W55" s="145"/>
      <c r="X55" s="140"/>
      <c r="Y55" s="137"/>
      <c r="Z55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5" s="63"/>
      <c r="AB55" s="101" t="e">
        <f t="shared" si="15"/>
        <v>#N/A</v>
      </c>
      <c r="AC55" s="60">
        <v>1</v>
      </c>
      <c r="AD55" s="51">
        <f t="shared" si="16"/>
        <v>0</v>
      </c>
      <c r="AE55" s="56">
        <f t="shared" si="17"/>
        <v>0</v>
      </c>
      <c r="AF55" s="56">
        <f t="shared" si="18"/>
        <v>0</v>
      </c>
      <c r="AG55" s="56">
        <f t="shared" si="19"/>
        <v>0</v>
      </c>
      <c r="AH55" s="89">
        <f t="shared" si="20"/>
        <v>219.39310229205779</v>
      </c>
      <c r="AI55" s="90" t="e">
        <f>VLOOKUP(Q55,Dados!$T$4:$U$19,2,FALSE)</f>
        <v>#N/A</v>
      </c>
      <c r="AJ55" s="91">
        <v>1</v>
      </c>
    </row>
    <row r="56" spans="1:36" customFormat="1" hidden="1">
      <c r="A56" s="61"/>
      <c r="B56" s="52" t="s">
        <v>134</v>
      </c>
      <c r="C56" s="52"/>
      <c r="D56" s="52"/>
      <c r="E56" s="53"/>
      <c r="F56" s="53"/>
      <c r="G56" s="53" t="s">
        <v>137</v>
      </c>
      <c r="H56" s="53"/>
      <c r="I56" s="54"/>
      <c r="J56" s="55">
        <f t="shared" si="11"/>
        <v>0</v>
      </c>
      <c r="K56" s="56">
        <v>0.92</v>
      </c>
      <c r="L56" s="57">
        <f t="shared" si="12"/>
        <v>0</v>
      </c>
      <c r="M56" s="57">
        <f t="shared" si="13"/>
        <v>0</v>
      </c>
      <c r="N56" s="57">
        <f t="shared" si="14"/>
        <v>0</v>
      </c>
      <c r="O56" s="56"/>
      <c r="P56" s="56" t="s">
        <v>138</v>
      </c>
      <c r="Q56" s="56" t="e">
        <f>IF(R56="PVC",VLOOKUP(O56,Dados!C$3:D$19,2),IF(R56="EPR",VLOOKUP(O56,Dados!C$22:D$38,2)))</f>
        <v>#N/A</v>
      </c>
      <c r="R56" s="56" t="s">
        <v>139</v>
      </c>
      <c r="S56" s="51">
        <f t="shared" si="10"/>
        <v>0</v>
      </c>
      <c r="T56" s="56" t="e">
        <f>IF(R56="PVC",VLOOKUP(Q56,Dados!L$3:M$18,2),IF(R56="EPR",VLOOKUP(Q56,Dados!L$3:N$18,3)))</f>
        <v>#N/A</v>
      </c>
      <c r="U56" s="143" t="s">
        <v>140</v>
      </c>
      <c r="V56" s="62"/>
      <c r="W56" s="145"/>
      <c r="X56" s="140"/>
      <c r="Y56" s="137"/>
      <c r="Z56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6" s="63"/>
      <c r="AB56" s="101" t="e">
        <f t="shared" si="15"/>
        <v>#N/A</v>
      </c>
      <c r="AC56" s="60">
        <v>1</v>
      </c>
      <c r="AD56" s="51">
        <f t="shared" si="16"/>
        <v>0</v>
      </c>
      <c r="AE56" s="56">
        <f t="shared" si="17"/>
        <v>0</v>
      </c>
      <c r="AF56" s="56">
        <f t="shared" si="18"/>
        <v>0</v>
      </c>
      <c r="AG56" s="56">
        <f t="shared" si="19"/>
        <v>0</v>
      </c>
      <c r="AH56" s="89">
        <f t="shared" si="20"/>
        <v>219.39310229205779</v>
      </c>
      <c r="AI56" s="90" t="e">
        <f>VLOOKUP(Q56,Dados!$T$4:$U$19,2,FALSE)</f>
        <v>#N/A</v>
      </c>
      <c r="AJ56" s="91">
        <v>1</v>
      </c>
    </row>
    <row r="57" spans="1:36" customFormat="1" hidden="1">
      <c r="A57" s="52"/>
      <c r="B57" s="52"/>
      <c r="C57" s="52" t="s">
        <v>134</v>
      </c>
      <c r="D57" s="52"/>
      <c r="E57" s="53"/>
      <c r="F57" s="53"/>
      <c r="G57" s="53" t="s">
        <v>137</v>
      </c>
      <c r="H57" s="53"/>
      <c r="I57" s="54"/>
      <c r="J57" s="55">
        <f t="shared" si="11"/>
        <v>0</v>
      </c>
      <c r="K57" s="56">
        <v>0.92</v>
      </c>
      <c r="L57" s="57">
        <f t="shared" si="12"/>
        <v>0</v>
      </c>
      <c r="M57" s="57">
        <f t="shared" si="13"/>
        <v>0</v>
      </c>
      <c r="N57" s="57">
        <f t="shared" si="14"/>
        <v>0</v>
      </c>
      <c r="O57" s="56"/>
      <c r="P57" s="56" t="s">
        <v>138</v>
      </c>
      <c r="Q57" s="56" t="e">
        <f>IF(R57="PVC",VLOOKUP(O57,Dados!C$3:D$19,2),IF(R57="EPR",VLOOKUP(O57,Dados!C$22:D$38,2)))</f>
        <v>#N/A</v>
      </c>
      <c r="R57" s="56" t="s">
        <v>139</v>
      </c>
      <c r="S57" s="51">
        <f t="shared" si="10"/>
        <v>0</v>
      </c>
      <c r="T57" s="56" t="e">
        <f>IF(R57="PVC",VLOOKUP(Q57,Dados!L$3:M$18,2),IF(R57="EPR",VLOOKUP(Q57,Dados!L$3:N$18,3)))</f>
        <v>#N/A</v>
      </c>
      <c r="U57" s="143" t="s">
        <v>140</v>
      </c>
      <c r="V57" s="62"/>
      <c r="W57" s="145"/>
      <c r="X57" s="140"/>
      <c r="Y57" s="137"/>
      <c r="Z57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7" s="63"/>
      <c r="AB57" s="101" t="e">
        <f t="shared" si="15"/>
        <v>#N/A</v>
      </c>
      <c r="AC57" s="60">
        <v>1</v>
      </c>
      <c r="AD57" s="51">
        <f t="shared" si="16"/>
        <v>0</v>
      </c>
      <c r="AE57" s="56">
        <f t="shared" si="17"/>
        <v>0</v>
      </c>
      <c r="AF57" s="56">
        <f t="shared" si="18"/>
        <v>0</v>
      </c>
      <c r="AG57" s="56">
        <f t="shared" si="19"/>
        <v>0</v>
      </c>
      <c r="AH57" s="89">
        <f t="shared" si="20"/>
        <v>219.39310229205779</v>
      </c>
      <c r="AI57" s="90" t="e">
        <f>VLOOKUP(Q57,Dados!$T$4:$U$19,2,FALSE)</f>
        <v>#N/A</v>
      </c>
      <c r="AJ57" s="91">
        <v>1</v>
      </c>
    </row>
    <row r="58" spans="1:36" customFormat="1" hidden="1">
      <c r="A58" s="61" t="s">
        <v>134</v>
      </c>
      <c r="B58" s="52"/>
      <c r="C58" s="52"/>
      <c r="D58" s="52"/>
      <c r="E58" s="53"/>
      <c r="F58" s="53"/>
      <c r="G58" s="53" t="s">
        <v>137</v>
      </c>
      <c r="H58" s="53"/>
      <c r="I58" s="54"/>
      <c r="J58" s="55">
        <f t="shared" si="11"/>
        <v>0</v>
      </c>
      <c r="K58" s="56">
        <v>0.92</v>
      </c>
      <c r="L58" s="57">
        <f t="shared" si="12"/>
        <v>0</v>
      </c>
      <c r="M58" s="57">
        <f t="shared" si="13"/>
        <v>0</v>
      </c>
      <c r="N58" s="57">
        <f t="shared" si="14"/>
        <v>0</v>
      </c>
      <c r="O58" s="56"/>
      <c r="P58" s="56" t="s">
        <v>138</v>
      </c>
      <c r="Q58" s="56" t="e">
        <f>IF(R58="PVC",VLOOKUP(O58,Dados!C$3:D$19,2),IF(R58="EPR",VLOOKUP(O58,Dados!C$22:D$38,2)))</f>
        <v>#N/A</v>
      </c>
      <c r="R58" s="56" t="s">
        <v>139</v>
      </c>
      <c r="S58" s="51">
        <f t="shared" si="10"/>
        <v>0</v>
      </c>
      <c r="T58" s="56" t="e">
        <f>IF(R58="PVC",VLOOKUP(Q58,Dados!L$3:M$18,2),IF(R58="EPR",VLOOKUP(Q58,Dados!L$3:N$18,3)))</f>
        <v>#N/A</v>
      </c>
      <c r="U58" s="143" t="s">
        <v>140</v>
      </c>
      <c r="V58" s="62"/>
      <c r="W58" s="145"/>
      <c r="X58" s="140"/>
      <c r="Y58" s="137"/>
      <c r="Z58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8" s="63"/>
      <c r="AB58" s="101" t="e">
        <f t="shared" si="15"/>
        <v>#N/A</v>
      </c>
      <c r="AC58" s="60">
        <v>1</v>
      </c>
      <c r="AD58" s="51">
        <f t="shared" si="16"/>
        <v>0</v>
      </c>
      <c r="AE58" s="56">
        <f t="shared" si="17"/>
        <v>0</v>
      </c>
      <c r="AF58" s="56">
        <f t="shared" si="18"/>
        <v>0</v>
      </c>
      <c r="AG58" s="56">
        <f t="shared" si="19"/>
        <v>0</v>
      </c>
      <c r="AH58" s="89">
        <f t="shared" si="20"/>
        <v>219.39310229205779</v>
      </c>
      <c r="AI58" s="90" t="e">
        <f>VLOOKUP(Q58,Dados!$T$4:$U$19,2,FALSE)</f>
        <v>#N/A</v>
      </c>
      <c r="AJ58" s="91">
        <v>1</v>
      </c>
    </row>
    <row r="59" spans="1:36" customFormat="1" hidden="1">
      <c r="A59" s="52"/>
      <c r="B59" s="52" t="s">
        <v>134</v>
      </c>
      <c r="C59" s="52"/>
      <c r="D59" s="52"/>
      <c r="E59" s="53"/>
      <c r="F59" s="53"/>
      <c r="G59" s="53" t="s">
        <v>137</v>
      </c>
      <c r="H59" s="53"/>
      <c r="I59" s="54"/>
      <c r="J59" s="55">
        <f t="shared" si="11"/>
        <v>0</v>
      </c>
      <c r="K59" s="56">
        <v>0.92</v>
      </c>
      <c r="L59" s="57">
        <f t="shared" si="12"/>
        <v>0</v>
      </c>
      <c r="M59" s="57">
        <f t="shared" si="13"/>
        <v>0</v>
      </c>
      <c r="N59" s="57">
        <f t="shared" si="14"/>
        <v>0</v>
      </c>
      <c r="O59" s="56"/>
      <c r="P59" s="56" t="s">
        <v>138</v>
      </c>
      <c r="Q59" s="56" t="e">
        <f>IF(R59="PVC",VLOOKUP(O59,Dados!C$3:D$19,2),IF(R59="EPR",VLOOKUP(O59,Dados!C$22:D$38,2)))</f>
        <v>#N/A</v>
      </c>
      <c r="R59" s="56" t="s">
        <v>139</v>
      </c>
      <c r="S59" s="51">
        <f t="shared" si="10"/>
        <v>0</v>
      </c>
      <c r="T59" s="56" t="e">
        <f>IF(R59="PVC",VLOOKUP(Q59,Dados!L$3:M$18,2),IF(R59="EPR",VLOOKUP(Q59,Dados!L$3:N$18,3)))</f>
        <v>#N/A</v>
      </c>
      <c r="U59" s="143" t="s">
        <v>140</v>
      </c>
      <c r="V59" s="62"/>
      <c r="W59" s="145"/>
      <c r="X59" s="140"/>
      <c r="Y59" s="137"/>
      <c r="Z59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59" s="63"/>
      <c r="AB59" s="101" t="e">
        <f t="shared" si="15"/>
        <v>#N/A</v>
      </c>
      <c r="AC59" s="60">
        <v>1</v>
      </c>
      <c r="AD59" s="51">
        <f t="shared" si="16"/>
        <v>0</v>
      </c>
      <c r="AE59" s="56">
        <f t="shared" si="17"/>
        <v>0</v>
      </c>
      <c r="AF59" s="56">
        <f t="shared" si="18"/>
        <v>0</v>
      </c>
      <c r="AG59" s="56">
        <f t="shared" si="19"/>
        <v>0</v>
      </c>
      <c r="AH59" s="89">
        <f t="shared" si="20"/>
        <v>219.39310229205779</v>
      </c>
      <c r="AI59" s="90" t="e">
        <f>VLOOKUP(Q59,Dados!$T$4:$U$19,2,FALSE)</f>
        <v>#N/A</v>
      </c>
      <c r="AJ59" s="91">
        <v>1</v>
      </c>
    </row>
    <row r="60" spans="1:36" customFormat="1" hidden="1">
      <c r="A60" s="52"/>
      <c r="B60" s="52"/>
      <c r="C60" s="52" t="s">
        <v>134</v>
      </c>
      <c r="D60" s="52"/>
      <c r="E60" s="53"/>
      <c r="F60" s="53"/>
      <c r="G60" s="53" t="s">
        <v>137</v>
      </c>
      <c r="H60" s="53"/>
      <c r="I60" s="54"/>
      <c r="J60" s="55">
        <f t="shared" si="11"/>
        <v>0</v>
      </c>
      <c r="K60" s="56">
        <v>0.92</v>
      </c>
      <c r="L60" s="57">
        <f t="shared" si="12"/>
        <v>0</v>
      </c>
      <c r="M60" s="57">
        <f t="shared" si="13"/>
        <v>0</v>
      </c>
      <c r="N60" s="57">
        <f t="shared" si="14"/>
        <v>0</v>
      </c>
      <c r="O60" s="56"/>
      <c r="P60" s="56" t="s">
        <v>138</v>
      </c>
      <c r="Q60" s="56" t="e">
        <f>IF(R60="PVC",VLOOKUP(O60,Dados!C$3:D$19,2),IF(R60="EPR",VLOOKUP(O60,Dados!C$22:D$38,2)))</f>
        <v>#N/A</v>
      </c>
      <c r="R60" s="56" t="s">
        <v>139</v>
      </c>
      <c r="S60" s="51">
        <f t="shared" si="10"/>
        <v>0</v>
      </c>
      <c r="T60" s="56" t="e">
        <f>IF(R60="PVC",VLOOKUP(Q60,Dados!L$3:M$18,2),IF(R60="EPR",VLOOKUP(Q60,Dados!L$3:N$18,3)))</f>
        <v>#N/A</v>
      </c>
      <c r="U60" s="143" t="s">
        <v>140</v>
      </c>
      <c r="V60" s="62"/>
      <c r="W60" s="145"/>
      <c r="X60" s="140"/>
      <c r="Y60" s="137"/>
      <c r="Z60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0" s="63"/>
      <c r="AB60" s="101" t="e">
        <f t="shared" si="15"/>
        <v>#N/A</v>
      </c>
      <c r="AC60" s="60">
        <v>1</v>
      </c>
      <c r="AD60" s="51">
        <f t="shared" si="16"/>
        <v>0</v>
      </c>
      <c r="AE60" s="56">
        <f t="shared" si="17"/>
        <v>0</v>
      </c>
      <c r="AF60" s="56">
        <f t="shared" si="18"/>
        <v>0</v>
      </c>
      <c r="AG60" s="56">
        <f t="shared" si="19"/>
        <v>0</v>
      </c>
      <c r="AH60" s="89">
        <f t="shared" si="20"/>
        <v>219.39310229205779</v>
      </c>
      <c r="AI60" s="90" t="e">
        <f>VLOOKUP(Q60,Dados!$T$4:$U$19,2,FALSE)</f>
        <v>#N/A</v>
      </c>
      <c r="AJ60" s="91">
        <v>1</v>
      </c>
    </row>
    <row r="61" spans="1:36" customFormat="1" hidden="1">
      <c r="A61" s="52" t="s">
        <v>134</v>
      </c>
      <c r="B61" s="52"/>
      <c r="C61" s="52"/>
      <c r="D61" s="52"/>
      <c r="E61" s="53"/>
      <c r="F61" s="53"/>
      <c r="G61" s="53" t="s">
        <v>137</v>
      </c>
      <c r="H61" s="53"/>
      <c r="I61" s="54"/>
      <c r="J61" s="55">
        <f t="shared" si="11"/>
        <v>0</v>
      </c>
      <c r="K61" s="56">
        <v>0.92</v>
      </c>
      <c r="L61" s="57">
        <f t="shared" si="12"/>
        <v>0</v>
      </c>
      <c r="M61" s="57">
        <f t="shared" si="13"/>
        <v>0</v>
      </c>
      <c r="N61" s="57">
        <f t="shared" si="14"/>
        <v>0</v>
      </c>
      <c r="O61" s="56"/>
      <c r="P61" s="56" t="s">
        <v>138</v>
      </c>
      <c r="Q61" s="56" t="e">
        <f>IF(R61="PVC",VLOOKUP(O61,Dados!C$3:D$19,2),IF(R61="EPR",VLOOKUP(O61,Dados!C$22:D$38,2)))</f>
        <v>#N/A</v>
      </c>
      <c r="R61" s="56" t="s">
        <v>139</v>
      </c>
      <c r="S61" s="51">
        <f t="shared" si="10"/>
        <v>0</v>
      </c>
      <c r="T61" s="56" t="e">
        <f>IF(R61="PVC",VLOOKUP(Q61,Dados!L$3:M$18,2),IF(R61="EPR",VLOOKUP(Q61,Dados!L$3:N$18,3)))</f>
        <v>#N/A</v>
      </c>
      <c r="U61" s="143" t="s">
        <v>140</v>
      </c>
      <c r="V61" s="62"/>
      <c r="W61" s="145"/>
      <c r="X61" s="140"/>
      <c r="Y61" s="137"/>
      <c r="Z61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1" s="63"/>
      <c r="AB61" s="101" t="e">
        <f t="shared" si="15"/>
        <v>#N/A</v>
      </c>
      <c r="AC61" s="60">
        <v>1</v>
      </c>
      <c r="AD61" s="51">
        <f t="shared" si="16"/>
        <v>0</v>
      </c>
      <c r="AE61" s="56">
        <f t="shared" si="17"/>
        <v>0</v>
      </c>
      <c r="AF61" s="56">
        <f t="shared" si="18"/>
        <v>0</v>
      </c>
      <c r="AG61" s="56">
        <f t="shared" si="19"/>
        <v>0</v>
      </c>
      <c r="AH61" s="89">
        <f t="shared" si="20"/>
        <v>219.39310229205779</v>
      </c>
      <c r="AI61" s="90" t="e">
        <f>VLOOKUP(Q61,Dados!$T$4:$U$19,2,FALSE)</f>
        <v>#N/A</v>
      </c>
      <c r="AJ61" s="91">
        <v>1</v>
      </c>
    </row>
    <row r="62" spans="1:36" customFormat="1" hidden="1">
      <c r="A62" s="61"/>
      <c r="B62" s="52" t="s">
        <v>134</v>
      </c>
      <c r="C62" s="52"/>
      <c r="D62" s="52"/>
      <c r="E62" s="53"/>
      <c r="F62" s="53"/>
      <c r="G62" s="53" t="s">
        <v>137</v>
      </c>
      <c r="H62" s="53"/>
      <c r="I62" s="54"/>
      <c r="J62" s="55">
        <f t="shared" si="11"/>
        <v>0</v>
      </c>
      <c r="K62" s="56">
        <v>0.92</v>
      </c>
      <c r="L62" s="57">
        <f t="shared" si="12"/>
        <v>0</v>
      </c>
      <c r="M62" s="57">
        <f t="shared" si="13"/>
        <v>0</v>
      </c>
      <c r="N62" s="57">
        <f t="shared" si="14"/>
        <v>0</v>
      </c>
      <c r="O62" s="56"/>
      <c r="P62" s="56" t="s">
        <v>138</v>
      </c>
      <c r="Q62" s="56" t="e">
        <f>IF(R62="PVC",VLOOKUP(O62,Dados!C$3:D$19,2),IF(R62="EPR",VLOOKUP(O62,Dados!C$22:D$38,2)))</f>
        <v>#N/A</v>
      </c>
      <c r="R62" s="56" t="s">
        <v>139</v>
      </c>
      <c r="S62" s="51">
        <f t="shared" si="10"/>
        <v>0</v>
      </c>
      <c r="T62" s="56" t="e">
        <f>IF(R62="PVC",VLOOKUP(Q62,Dados!L$3:M$18,2),IF(R62="EPR",VLOOKUP(Q62,Dados!L$3:N$18,3)))</f>
        <v>#N/A</v>
      </c>
      <c r="U62" s="143" t="s">
        <v>140</v>
      </c>
      <c r="V62" s="62"/>
      <c r="W62" s="145"/>
      <c r="X62" s="140"/>
      <c r="Y62" s="137"/>
      <c r="Z62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2" s="63"/>
      <c r="AB62" s="101" t="e">
        <f t="shared" si="15"/>
        <v>#N/A</v>
      </c>
      <c r="AC62" s="60">
        <v>1</v>
      </c>
      <c r="AD62" s="51">
        <f t="shared" si="16"/>
        <v>0</v>
      </c>
      <c r="AE62" s="56">
        <f t="shared" si="17"/>
        <v>0</v>
      </c>
      <c r="AF62" s="56">
        <f t="shared" si="18"/>
        <v>0</v>
      </c>
      <c r="AG62" s="56">
        <f t="shared" si="19"/>
        <v>0</v>
      </c>
      <c r="AH62" s="89">
        <f t="shared" si="20"/>
        <v>219.39310229205779</v>
      </c>
      <c r="AI62" s="90" t="e">
        <f>VLOOKUP(Q62,Dados!$T$4:$U$19,2,FALSE)</f>
        <v>#N/A</v>
      </c>
      <c r="AJ62" s="91">
        <v>1</v>
      </c>
    </row>
    <row r="63" spans="1:36" customFormat="1" hidden="1">
      <c r="A63" s="52"/>
      <c r="B63" s="52"/>
      <c r="C63" s="52" t="s">
        <v>134</v>
      </c>
      <c r="D63" s="52"/>
      <c r="E63" s="53"/>
      <c r="F63" s="53"/>
      <c r="G63" s="53" t="s">
        <v>137</v>
      </c>
      <c r="H63" s="53"/>
      <c r="I63" s="54"/>
      <c r="J63" s="55">
        <f t="shared" si="11"/>
        <v>0</v>
      </c>
      <c r="K63" s="56">
        <v>0.92</v>
      </c>
      <c r="L63" s="57">
        <f t="shared" si="12"/>
        <v>0</v>
      </c>
      <c r="M63" s="57">
        <f t="shared" si="13"/>
        <v>0</v>
      </c>
      <c r="N63" s="57">
        <f t="shared" si="14"/>
        <v>0</v>
      </c>
      <c r="O63" s="56"/>
      <c r="P63" s="56" t="s">
        <v>138</v>
      </c>
      <c r="Q63" s="56" t="e">
        <f>IF(R63="PVC",VLOOKUP(O63,Dados!C$3:D$19,2),IF(R63="EPR",VLOOKUP(O63,Dados!C$22:D$38,2)))</f>
        <v>#N/A</v>
      </c>
      <c r="R63" s="56" t="s">
        <v>139</v>
      </c>
      <c r="S63" s="51">
        <f t="shared" si="10"/>
        <v>0</v>
      </c>
      <c r="T63" s="56" t="e">
        <f>IF(R63="PVC",VLOOKUP(Q63,Dados!L$3:M$18,2),IF(R63="EPR",VLOOKUP(Q63,Dados!L$3:N$18,3)))</f>
        <v>#N/A</v>
      </c>
      <c r="U63" s="143" t="s">
        <v>140</v>
      </c>
      <c r="V63" s="62"/>
      <c r="W63" s="145"/>
      <c r="X63" s="140"/>
      <c r="Y63" s="137"/>
      <c r="Z63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3" s="63"/>
      <c r="AB63" s="101" t="e">
        <f t="shared" si="15"/>
        <v>#N/A</v>
      </c>
      <c r="AC63" s="60">
        <v>1</v>
      </c>
      <c r="AD63" s="51">
        <f t="shared" si="16"/>
        <v>0</v>
      </c>
      <c r="AE63" s="56">
        <f t="shared" si="17"/>
        <v>0</v>
      </c>
      <c r="AF63" s="56">
        <f t="shared" si="18"/>
        <v>0</v>
      </c>
      <c r="AG63" s="56">
        <f t="shared" si="19"/>
        <v>0</v>
      </c>
      <c r="AH63" s="89">
        <f t="shared" si="20"/>
        <v>219.39310229205779</v>
      </c>
      <c r="AI63" s="90" t="e">
        <f>VLOOKUP(Q63,Dados!$T$4:$U$19,2,FALSE)</f>
        <v>#N/A</v>
      </c>
      <c r="AJ63" s="91">
        <v>1</v>
      </c>
    </row>
    <row r="64" spans="1:36" customFormat="1" hidden="1">
      <c r="A64" s="61" t="s">
        <v>134</v>
      </c>
      <c r="B64" s="52"/>
      <c r="C64" s="52"/>
      <c r="D64" s="52"/>
      <c r="E64" s="53"/>
      <c r="F64" s="53"/>
      <c r="G64" s="53" t="s">
        <v>137</v>
      </c>
      <c r="H64" s="53"/>
      <c r="I64" s="54"/>
      <c r="J64" s="55">
        <f t="shared" si="11"/>
        <v>0</v>
      </c>
      <c r="K64" s="56">
        <v>0.92</v>
      </c>
      <c r="L64" s="57">
        <f t="shared" si="12"/>
        <v>0</v>
      </c>
      <c r="M64" s="57">
        <f t="shared" si="13"/>
        <v>0</v>
      </c>
      <c r="N64" s="57">
        <f t="shared" si="14"/>
        <v>0</v>
      </c>
      <c r="O64" s="56"/>
      <c r="P64" s="56" t="s">
        <v>138</v>
      </c>
      <c r="Q64" s="56" t="e">
        <f>IF(R64="PVC",VLOOKUP(O64,Dados!C$3:D$19,2),IF(R64="EPR",VLOOKUP(O64,Dados!C$22:D$38,2)))</f>
        <v>#N/A</v>
      </c>
      <c r="R64" s="56" t="s">
        <v>139</v>
      </c>
      <c r="S64" s="51">
        <f t="shared" si="10"/>
        <v>0</v>
      </c>
      <c r="T64" s="56" t="e">
        <f>IF(R64="PVC",VLOOKUP(Q64,Dados!L$3:M$18,2),IF(R64="EPR",VLOOKUP(Q64,Dados!L$3:N$18,3)))</f>
        <v>#N/A</v>
      </c>
      <c r="U64" s="143" t="s">
        <v>140</v>
      </c>
      <c r="V64" s="62"/>
      <c r="W64" s="145"/>
      <c r="X64" s="140"/>
      <c r="Y64" s="137"/>
      <c r="Z64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4" s="63"/>
      <c r="AB64" s="101" t="e">
        <f t="shared" si="15"/>
        <v>#N/A</v>
      </c>
      <c r="AC64" s="60">
        <v>1</v>
      </c>
      <c r="AD64" s="51">
        <f t="shared" si="16"/>
        <v>0</v>
      </c>
      <c r="AE64" s="56">
        <f t="shared" si="17"/>
        <v>0</v>
      </c>
      <c r="AF64" s="56">
        <f t="shared" si="18"/>
        <v>0</v>
      </c>
      <c r="AG64" s="56">
        <f t="shared" si="19"/>
        <v>0</v>
      </c>
      <c r="AH64" s="89">
        <f t="shared" si="20"/>
        <v>219.39310229205779</v>
      </c>
      <c r="AI64" s="90" t="e">
        <f>VLOOKUP(Q64,Dados!$T$4:$U$19,2,FALSE)</f>
        <v>#N/A</v>
      </c>
      <c r="AJ64" s="91">
        <v>1</v>
      </c>
    </row>
    <row r="65" spans="1:36" customFormat="1" hidden="1">
      <c r="A65" s="52"/>
      <c r="B65" s="52" t="s">
        <v>134</v>
      </c>
      <c r="C65" s="52"/>
      <c r="D65" s="52"/>
      <c r="E65" s="53"/>
      <c r="F65" s="53"/>
      <c r="G65" s="53" t="s">
        <v>137</v>
      </c>
      <c r="H65" s="53"/>
      <c r="I65" s="54"/>
      <c r="J65" s="55">
        <f t="shared" si="11"/>
        <v>0</v>
      </c>
      <c r="K65" s="56">
        <v>0.92</v>
      </c>
      <c r="L65" s="57">
        <f t="shared" si="12"/>
        <v>0</v>
      </c>
      <c r="M65" s="57">
        <f t="shared" si="13"/>
        <v>0</v>
      </c>
      <c r="N65" s="57">
        <f t="shared" si="14"/>
        <v>0</v>
      </c>
      <c r="O65" s="56"/>
      <c r="P65" s="56" t="s">
        <v>138</v>
      </c>
      <c r="Q65" s="56" t="e">
        <f>IF(R65="PVC",VLOOKUP(O65,Dados!C$3:D$19,2),IF(R65="EPR",VLOOKUP(O65,Dados!C$22:D$38,2)))</f>
        <v>#N/A</v>
      </c>
      <c r="R65" s="56" t="s">
        <v>139</v>
      </c>
      <c r="S65" s="51">
        <f t="shared" si="10"/>
        <v>0</v>
      </c>
      <c r="T65" s="56" t="e">
        <f>IF(R65="PVC",VLOOKUP(Q65,Dados!L$3:M$18,2),IF(R65="EPR",VLOOKUP(Q65,Dados!L$3:N$18,3)))</f>
        <v>#N/A</v>
      </c>
      <c r="U65" s="143" t="s">
        <v>140</v>
      </c>
      <c r="V65" s="62"/>
      <c r="W65" s="145"/>
      <c r="X65" s="140"/>
      <c r="Y65" s="137"/>
      <c r="Z65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5" s="63"/>
      <c r="AB65" s="101" t="e">
        <f t="shared" si="15"/>
        <v>#N/A</v>
      </c>
      <c r="AC65" s="60">
        <v>1</v>
      </c>
      <c r="AD65" s="51">
        <f t="shared" si="16"/>
        <v>0</v>
      </c>
      <c r="AE65" s="56">
        <f t="shared" si="17"/>
        <v>0</v>
      </c>
      <c r="AF65" s="56">
        <f t="shared" si="18"/>
        <v>0</v>
      </c>
      <c r="AG65" s="56">
        <f t="shared" si="19"/>
        <v>0</v>
      </c>
      <c r="AH65" s="89">
        <f t="shared" si="20"/>
        <v>219.39310229205779</v>
      </c>
      <c r="AI65" s="90" t="e">
        <f>VLOOKUP(Q65,Dados!$T$4:$U$19,2,FALSE)</f>
        <v>#N/A</v>
      </c>
      <c r="AJ65" s="91">
        <v>1</v>
      </c>
    </row>
    <row r="66" spans="1:36" customFormat="1" hidden="1">
      <c r="A66" s="52"/>
      <c r="B66" s="52"/>
      <c r="C66" s="52" t="s">
        <v>134</v>
      </c>
      <c r="D66" s="52"/>
      <c r="E66" s="53"/>
      <c r="F66" s="53"/>
      <c r="G66" s="53" t="s">
        <v>137</v>
      </c>
      <c r="H66" s="53"/>
      <c r="I66" s="54"/>
      <c r="J66" s="55">
        <f t="shared" si="11"/>
        <v>0</v>
      </c>
      <c r="K66" s="56">
        <v>0.92</v>
      </c>
      <c r="L66" s="57">
        <f t="shared" si="12"/>
        <v>0</v>
      </c>
      <c r="M66" s="57">
        <f t="shared" si="13"/>
        <v>0</v>
      </c>
      <c r="N66" s="57">
        <f t="shared" si="14"/>
        <v>0</v>
      </c>
      <c r="O66" s="56"/>
      <c r="P66" s="56" t="s">
        <v>138</v>
      </c>
      <c r="Q66" s="56" t="e">
        <f>IF(R66="PVC",VLOOKUP(O66,Dados!C$3:D$19,2),IF(R66="EPR",VLOOKUP(O66,Dados!C$22:D$38,2)))</f>
        <v>#N/A</v>
      </c>
      <c r="R66" s="56" t="s">
        <v>139</v>
      </c>
      <c r="S66" s="51">
        <f t="shared" si="10"/>
        <v>0</v>
      </c>
      <c r="T66" s="56" t="e">
        <f>IF(R66="PVC",VLOOKUP(Q66,Dados!L$3:M$18,2),IF(R66="EPR",VLOOKUP(Q66,Dados!L$3:N$18,3)))</f>
        <v>#N/A</v>
      </c>
      <c r="U66" s="143" t="s">
        <v>140</v>
      </c>
      <c r="V66" s="62"/>
      <c r="W66" s="145"/>
      <c r="X66" s="140"/>
      <c r="Y66" s="137"/>
      <c r="Z66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6" s="63"/>
      <c r="AB66" s="101" t="e">
        <f t="shared" si="15"/>
        <v>#N/A</v>
      </c>
      <c r="AC66" s="60">
        <v>1</v>
      </c>
      <c r="AD66" s="51">
        <f t="shared" si="16"/>
        <v>0</v>
      </c>
      <c r="AE66" s="56">
        <f t="shared" si="17"/>
        <v>0</v>
      </c>
      <c r="AF66" s="56">
        <f t="shared" si="18"/>
        <v>0</v>
      </c>
      <c r="AG66" s="56">
        <f t="shared" si="19"/>
        <v>0</v>
      </c>
      <c r="AH66" s="89">
        <f t="shared" si="20"/>
        <v>219.39310229205779</v>
      </c>
      <c r="AI66" s="90" t="e">
        <f>VLOOKUP(Q66,Dados!$T$4:$U$19,2,FALSE)</f>
        <v>#N/A</v>
      </c>
      <c r="AJ66" s="91">
        <v>1</v>
      </c>
    </row>
    <row r="67" spans="1:36" customFormat="1" hidden="1">
      <c r="A67" s="52" t="s">
        <v>134</v>
      </c>
      <c r="B67" s="52"/>
      <c r="C67" s="52"/>
      <c r="D67" s="52"/>
      <c r="E67" s="53"/>
      <c r="F67" s="53"/>
      <c r="G67" s="53" t="s">
        <v>137</v>
      </c>
      <c r="H67" s="53"/>
      <c r="I67" s="54"/>
      <c r="J67" s="55">
        <f t="shared" si="11"/>
        <v>0</v>
      </c>
      <c r="K67" s="56">
        <v>0.92</v>
      </c>
      <c r="L67" s="57">
        <f t="shared" si="12"/>
        <v>0</v>
      </c>
      <c r="M67" s="57">
        <f t="shared" si="13"/>
        <v>0</v>
      </c>
      <c r="N67" s="57">
        <f t="shared" si="14"/>
        <v>0</v>
      </c>
      <c r="O67" s="56"/>
      <c r="P67" s="56" t="s">
        <v>138</v>
      </c>
      <c r="Q67" s="56" t="e">
        <f>IF(R67="PVC",VLOOKUP(O67,Dados!C$3:D$19,2),IF(R67="EPR",VLOOKUP(O67,Dados!C$22:D$38,2)))</f>
        <v>#N/A</v>
      </c>
      <c r="R67" s="56" t="s">
        <v>139</v>
      </c>
      <c r="S67" s="51">
        <f t="shared" si="10"/>
        <v>0</v>
      </c>
      <c r="T67" s="56" t="e">
        <f>IF(R67="PVC",VLOOKUP(Q67,Dados!L$3:M$18,2),IF(R67="EPR",VLOOKUP(Q67,Dados!L$3:N$18,3)))</f>
        <v>#N/A</v>
      </c>
      <c r="U67" s="143" t="s">
        <v>140</v>
      </c>
      <c r="V67" s="62"/>
      <c r="W67" s="145"/>
      <c r="X67" s="140"/>
      <c r="Y67" s="137"/>
      <c r="Z67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7" s="63"/>
      <c r="AB67" s="101" t="e">
        <f t="shared" si="15"/>
        <v>#N/A</v>
      </c>
      <c r="AC67" s="60">
        <v>1</v>
      </c>
      <c r="AD67" s="51">
        <f t="shared" si="16"/>
        <v>0</v>
      </c>
      <c r="AE67" s="56">
        <f t="shared" si="17"/>
        <v>0</v>
      </c>
      <c r="AF67" s="56">
        <f t="shared" si="18"/>
        <v>0</v>
      </c>
      <c r="AG67" s="56">
        <f t="shared" si="19"/>
        <v>0</v>
      </c>
      <c r="AH67" s="89">
        <f t="shared" si="20"/>
        <v>219.39310229205779</v>
      </c>
      <c r="AI67" s="90" t="e">
        <f>VLOOKUP(Q67,Dados!$T$4:$U$19,2,FALSE)</f>
        <v>#N/A</v>
      </c>
      <c r="AJ67" s="91">
        <v>1</v>
      </c>
    </row>
    <row r="68" spans="1:36" customFormat="1" hidden="1">
      <c r="A68" s="61"/>
      <c r="B68" s="52" t="s">
        <v>134</v>
      </c>
      <c r="C68" s="52"/>
      <c r="D68" s="52"/>
      <c r="E68" s="53"/>
      <c r="F68" s="53"/>
      <c r="G68" s="53" t="s">
        <v>137</v>
      </c>
      <c r="H68" s="53"/>
      <c r="I68" s="54"/>
      <c r="J68" s="55">
        <f t="shared" si="11"/>
        <v>0</v>
      </c>
      <c r="K68" s="56">
        <v>0.92</v>
      </c>
      <c r="L68" s="57">
        <f t="shared" si="12"/>
        <v>0</v>
      </c>
      <c r="M68" s="57">
        <f t="shared" si="13"/>
        <v>0</v>
      </c>
      <c r="N68" s="57">
        <f t="shared" si="14"/>
        <v>0</v>
      </c>
      <c r="O68" s="56"/>
      <c r="P68" s="56" t="s">
        <v>138</v>
      </c>
      <c r="Q68" s="56" t="e">
        <f>IF(R68="PVC",VLOOKUP(O68,Dados!C$3:D$19,2),IF(R68="EPR",VLOOKUP(O68,Dados!C$22:D$38,2)))</f>
        <v>#N/A</v>
      </c>
      <c r="R68" s="56" t="s">
        <v>139</v>
      </c>
      <c r="S68" s="51">
        <f t="shared" si="10"/>
        <v>0</v>
      </c>
      <c r="T68" s="56" t="e">
        <f>IF(R68="PVC",VLOOKUP(Q68,Dados!L$3:M$18,2),IF(R68="EPR",VLOOKUP(Q68,Dados!L$3:N$18,3)))</f>
        <v>#N/A</v>
      </c>
      <c r="U68" s="143" t="s">
        <v>140</v>
      </c>
      <c r="V68" s="62"/>
      <c r="W68" s="145"/>
      <c r="X68" s="140"/>
      <c r="Y68" s="137"/>
      <c r="Z68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8" s="63"/>
      <c r="AB68" s="101" t="e">
        <f t="shared" si="15"/>
        <v>#N/A</v>
      </c>
      <c r="AC68" s="60">
        <v>1</v>
      </c>
      <c r="AD68" s="51">
        <f t="shared" si="16"/>
        <v>0</v>
      </c>
      <c r="AE68" s="56">
        <f t="shared" si="17"/>
        <v>0</v>
      </c>
      <c r="AF68" s="56">
        <f t="shared" si="18"/>
        <v>0</v>
      </c>
      <c r="AG68" s="56">
        <f t="shared" si="19"/>
        <v>0</v>
      </c>
      <c r="AH68" s="89">
        <f t="shared" si="20"/>
        <v>219.39310229205779</v>
      </c>
      <c r="AI68" s="90" t="e">
        <f>VLOOKUP(Q68,Dados!$T$4:$U$19,2,FALSE)</f>
        <v>#N/A</v>
      </c>
      <c r="AJ68" s="91">
        <v>1</v>
      </c>
    </row>
    <row r="69" spans="1:36" customFormat="1" hidden="1">
      <c r="A69" s="52"/>
      <c r="B69" s="52"/>
      <c r="C69" s="52" t="s">
        <v>134</v>
      </c>
      <c r="D69" s="52"/>
      <c r="E69" s="53"/>
      <c r="F69" s="53"/>
      <c r="G69" s="53" t="s">
        <v>137</v>
      </c>
      <c r="H69" s="53"/>
      <c r="I69" s="54"/>
      <c r="J69" s="55">
        <f t="shared" si="11"/>
        <v>0</v>
      </c>
      <c r="K69" s="56">
        <v>0.92</v>
      </c>
      <c r="L69" s="57">
        <f t="shared" si="12"/>
        <v>0</v>
      </c>
      <c r="M69" s="57">
        <f t="shared" si="13"/>
        <v>0</v>
      </c>
      <c r="N69" s="57">
        <f t="shared" si="14"/>
        <v>0</v>
      </c>
      <c r="O69" s="56"/>
      <c r="P69" s="56" t="s">
        <v>138</v>
      </c>
      <c r="Q69" s="56" t="e">
        <f>IF(R69="PVC",VLOOKUP(O69,Dados!C$3:D$19,2),IF(R69="EPR",VLOOKUP(O69,Dados!C$22:D$38,2)))</f>
        <v>#N/A</v>
      </c>
      <c r="R69" s="56" t="s">
        <v>139</v>
      </c>
      <c r="S69" s="51">
        <f t="shared" si="10"/>
        <v>0</v>
      </c>
      <c r="T69" s="56" t="e">
        <f>IF(R69="PVC",VLOOKUP(Q69,Dados!L$3:M$18,2),IF(R69="EPR",VLOOKUP(Q69,Dados!L$3:N$18,3)))</f>
        <v>#N/A</v>
      </c>
      <c r="U69" s="143" t="s">
        <v>140</v>
      </c>
      <c r="V69" s="62"/>
      <c r="W69" s="145"/>
      <c r="X69" s="140"/>
      <c r="Y69" s="137"/>
      <c r="Z69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69" s="63"/>
      <c r="AB69" s="101" t="e">
        <f t="shared" si="15"/>
        <v>#N/A</v>
      </c>
      <c r="AC69" s="60">
        <v>1</v>
      </c>
      <c r="AD69" s="51">
        <f t="shared" si="16"/>
        <v>0</v>
      </c>
      <c r="AE69" s="56">
        <f t="shared" si="17"/>
        <v>0</v>
      </c>
      <c r="AF69" s="56">
        <f t="shared" si="18"/>
        <v>0</v>
      </c>
      <c r="AG69" s="56">
        <f t="shared" si="19"/>
        <v>0</v>
      </c>
      <c r="AH69" s="89">
        <f t="shared" si="20"/>
        <v>219.39310229205779</v>
      </c>
      <c r="AI69" s="90" t="e">
        <f>VLOOKUP(Q69,Dados!$T$4:$U$19,2,FALSE)</f>
        <v>#N/A</v>
      </c>
      <c r="AJ69" s="91">
        <v>1</v>
      </c>
    </row>
    <row r="70" spans="1:36" customFormat="1" hidden="1">
      <c r="A70" s="61" t="s">
        <v>134</v>
      </c>
      <c r="B70" s="52"/>
      <c r="C70" s="52"/>
      <c r="D70" s="52"/>
      <c r="E70" s="53"/>
      <c r="F70" s="53"/>
      <c r="G70" s="53" t="s">
        <v>137</v>
      </c>
      <c r="H70" s="53"/>
      <c r="I70" s="54"/>
      <c r="J70" s="55">
        <f t="shared" si="11"/>
        <v>0</v>
      </c>
      <c r="K70" s="56">
        <v>0.92</v>
      </c>
      <c r="L70" s="57">
        <f t="shared" si="12"/>
        <v>0</v>
      </c>
      <c r="M70" s="57">
        <f t="shared" si="13"/>
        <v>0</v>
      </c>
      <c r="N70" s="57">
        <f t="shared" si="14"/>
        <v>0</v>
      </c>
      <c r="O70" s="56"/>
      <c r="P70" s="56" t="s">
        <v>138</v>
      </c>
      <c r="Q70" s="56" t="e">
        <f>IF(R70="PVC",VLOOKUP(O70,Dados!C$3:D$19,2),IF(R70="EPR",VLOOKUP(O70,Dados!C$22:D$38,2)))</f>
        <v>#N/A</v>
      </c>
      <c r="R70" s="56" t="s">
        <v>139</v>
      </c>
      <c r="S70" s="51">
        <f t="shared" si="10"/>
        <v>0</v>
      </c>
      <c r="T70" s="56" t="e">
        <f>IF(R70="PVC",VLOOKUP(Q70,Dados!L$3:M$18,2),IF(R70="EPR",VLOOKUP(Q70,Dados!L$3:N$18,3)))</f>
        <v>#N/A</v>
      </c>
      <c r="U70" s="143" t="s">
        <v>140</v>
      </c>
      <c r="V70" s="62"/>
      <c r="W70" s="145"/>
      <c r="X70" s="140"/>
      <c r="Y70" s="137"/>
      <c r="Z70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0" s="63"/>
      <c r="AB70" s="101" t="e">
        <f t="shared" si="15"/>
        <v>#N/A</v>
      </c>
      <c r="AC70" s="60">
        <v>1</v>
      </c>
      <c r="AD70" s="51">
        <f t="shared" si="16"/>
        <v>0</v>
      </c>
      <c r="AE70" s="56">
        <f t="shared" si="17"/>
        <v>0</v>
      </c>
      <c r="AF70" s="56">
        <f t="shared" si="18"/>
        <v>0</v>
      </c>
      <c r="AG70" s="56">
        <f t="shared" si="19"/>
        <v>0</v>
      </c>
      <c r="AH70" s="89">
        <f t="shared" si="20"/>
        <v>219.39310229205779</v>
      </c>
      <c r="AI70" s="90" t="e">
        <f>VLOOKUP(Q70,Dados!$T$4:$U$19,2,FALSE)</f>
        <v>#N/A</v>
      </c>
      <c r="AJ70" s="91">
        <v>1</v>
      </c>
    </row>
    <row r="71" spans="1:36" customFormat="1" hidden="1">
      <c r="A71" s="52"/>
      <c r="B71" s="52" t="s">
        <v>134</v>
      </c>
      <c r="C71" s="52"/>
      <c r="D71" s="52"/>
      <c r="E71" s="53"/>
      <c r="F71" s="53"/>
      <c r="G71" s="53" t="s">
        <v>137</v>
      </c>
      <c r="H71" s="53"/>
      <c r="I71" s="54"/>
      <c r="J71" s="55">
        <f t="shared" si="11"/>
        <v>0</v>
      </c>
      <c r="K71" s="56">
        <v>0.92</v>
      </c>
      <c r="L71" s="57">
        <f t="shared" si="12"/>
        <v>0</v>
      </c>
      <c r="M71" s="57">
        <f t="shared" si="13"/>
        <v>0</v>
      </c>
      <c r="N71" s="57">
        <f t="shared" si="14"/>
        <v>0</v>
      </c>
      <c r="O71" s="56"/>
      <c r="P71" s="56" t="s">
        <v>138</v>
      </c>
      <c r="Q71" s="56" t="e">
        <f>IF(R71="PVC",VLOOKUP(O71,Dados!C$3:D$19,2),IF(R71="EPR",VLOOKUP(O71,Dados!C$22:D$38,2)))</f>
        <v>#N/A</v>
      </c>
      <c r="R71" s="56" t="s">
        <v>139</v>
      </c>
      <c r="S71" s="51">
        <f t="shared" si="10"/>
        <v>0</v>
      </c>
      <c r="T71" s="56" t="e">
        <f>IF(R71="PVC",VLOOKUP(Q71,Dados!L$3:M$18,2),IF(R71="EPR",VLOOKUP(Q71,Dados!L$3:N$18,3)))</f>
        <v>#N/A</v>
      </c>
      <c r="U71" s="143" t="s">
        <v>140</v>
      </c>
      <c r="V71" s="62"/>
      <c r="W71" s="145"/>
      <c r="X71" s="140"/>
      <c r="Y71" s="137"/>
      <c r="Z71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1" s="63"/>
      <c r="AB71" s="101" t="e">
        <f t="shared" si="15"/>
        <v>#N/A</v>
      </c>
      <c r="AC71" s="60">
        <v>1</v>
      </c>
      <c r="AD71" s="51">
        <f t="shared" si="16"/>
        <v>0</v>
      </c>
      <c r="AE71" s="56">
        <f t="shared" si="17"/>
        <v>0</v>
      </c>
      <c r="AF71" s="56">
        <f t="shared" si="18"/>
        <v>0</v>
      </c>
      <c r="AG71" s="56">
        <f t="shared" si="19"/>
        <v>0</v>
      </c>
      <c r="AH71" s="89">
        <f t="shared" si="20"/>
        <v>219.39310229205779</v>
      </c>
      <c r="AI71" s="90" t="e">
        <f>VLOOKUP(Q71,Dados!$T$4:$U$19,2,FALSE)</f>
        <v>#N/A</v>
      </c>
      <c r="AJ71" s="91">
        <v>1</v>
      </c>
    </row>
    <row r="72" spans="1:36" customFormat="1" hidden="1">
      <c r="A72" s="52"/>
      <c r="B72" s="52"/>
      <c r="C72" s="52" t="s">
        <v>134</v>
      </c>
      <c r="D72" s="52"/>
      <c r="E72" s="53"/>
      <c r="F72" s="53"/>
      <c r="G72" s="53" t="s">
        <v>137</v>
      </c>
      <c r="H72" s="53"/>
      <c r="I72" s="54"/>
      <c r="J72" s="55">
        <f t="shared" si="11"/>
        <v>0</v>
      </c>
      <c r="K72" s="56">
        <v>0.92</v>
      </c>
      <c r="L72" s="57">
        <f t="shared" si="12"/>
        <v>0</v>
      </c>
      <c r="M72" s="57">
        <f t="shared" si="13"/>
        <v>0</v>
      </c>
      <c r="N72" s="57">
        <f t="shared" si="14"/>
        <v>0</v>
      </c>
      <c r="O72" s="56"/>
      <c r="P72" s="56" t="s">
        <v>138</v>
      </c>
      <c r="Q72" s="56" t="e">
        <f>IF(R72="PVC",VLOOKUP(O72,Dados!C$3:D$19,2),IF(R72="EPR",VLOOKUP(O72,Dados!C$22:D$38,2)))</f>
        <v>#N/A</v>
      </c>
      <c r="R72" s="56" t="s">
        <v>139</v>
      </c>
      <c r="S72" s="51">
        <f t="shared" si="10"/>
        <v>0</v>
      </c>
      <c r="T72" s="56" t="e">
        <f>IF(R72="PVC",VLOOKUP(Q72,Dados!L$3:M$18,2),IF(R72="EPR",VLOOKUP(Q72,Dados!L$3:N$18,3)))</f>
        <v>#N/A</v>
      </c>
      <c r="U72" s="143" t="s">
        <v>140</v>
      </c>
      <c r="V72" s="62"/>
      <c r="W72" s="145"/>
      <c r="X72" s="140"/>
      <c r="Y72" s="137"/>
      <c r="Z72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2" s="63"/>
      <c r="AB72" s="101" t="e">
        <f t="shared" si="15"/>
        <v>#N/A</v>
      </c>
      <c r="AC72" s="60">
        <v>1</v>
      </c>
      <c r="AD72" s="51">
        <f t="shared" si="16"/>
        <v>0</v>
      </c>
      <c r="AE72" s="56">
        <f t="shared" si="17"/>
        <v>0</v>
      </c>
      <c r="AF72" s="56">
        <f t="shared" si="18"/>
        <v>0</v>
      </c>
      <c r="AG72" s="56">
        <f t="shared" si="19"/>
        <v>0</v>
      </c>
      <c r="AH72" s="89">
        <f t="shared" si="20"/>
        <v>219.39310229205779</v>
      </c>
      <c r="AI72" s="90" t="e">
        <f>VLOOKUP(Q72,Dados!$T$4:$U$19,2,FALSE)</f>
        <v>#N/A</v>
      </c>
      <c r="AJ72" s="91">
        <v>1</v>
      </c>
    </row>
    <row r="73" spans="1:36" customFormat="1" hidden="1">
      <c r="A73" s="52" t="s">
        <v>134</v>
      </c>
      <c r="B73" s="52"/>
      <c r="C73" s="52"/>
      <c r="D73" s="52"/>
      <c r="E73" s="53"/>
      <c r="F73" s="53"/>
      <c r="G73" s="53" t="s">
        <v>137</v>
      </c>
      <c r="H73" s="53"/>
      <c r="I73" s="54"/>
      <c r="J73" s="55">
        <f t="shared" si="11"/>
        <v>0</v>
      </c>
      <c r="K73" s="56">
        <v>0.92</v>
      </c>
      <c r="L73" s="57">
        <f t="shared" si="12"/>
        <v>0</v>
      </c>
      <c r="M73" s="57">
        <f t="shared" si="13"/>
        <v>0</v>
      </c>
      <c r="N73" s="57">
        <f t="shared" si="14"/>
        <v>0</v>
      </c>
      <c r="O73" s="56"/>
      <c r="P73" s="56" t="s">
        <v>138</v>
      </c>
      <c r="Q73" s="56" t="e">
        <f>IF(R73="PVC",VLOOKUP(O73,Dados!C$3:D$19,2),IF(R73="EPR",VLOOKUP(O73,Dados!C$22:D$38,2)))</f>
        <v>#N/A</v>
      </c>
      <c r="R73" s="56" t="s">
        <v>139</v>
      </c>
      <c r="S73" s="51">
        <f t="shared" si="10"/>
        <v>0</v>
      </c>
      <c r="T73" s="56" t="e">
        <f>IF(R73="PVC",VLOOKUP(Q73,Dados!L$3:M$18,2),IF(R73="EPR",VLOOKUP(Q73,Dados!L$3:N$18,3)))</f>
        <v>#N/A</v>
      </c>
      <c r="U73" s="143" t="s">
        <v>140</v>
      </c>
      <c r="V73" s="62"/>
      <c r="W73" s="145"/>
      <c r="X73" s="140"/>
      <c r="Y73" s="137"/>
      <c r="Z73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3" s="63"/>
      <c r="AB73" s="101" t="e">
        <f t="shared" si="15"/>
        <v>#N/A</v>
      </c>
      <c r="AC73" s="60">
        <v>1</v>
      </c>
      <c r="AD73" s="51">
        <f t="shared" si="16"/>
        <v>0</v>
      </c>
      <c r="AE73" s="56">
        <f t="shared" si="17"/>
        <v>0</v>
      </c>
      <c r="AF73" s="56">
        <f t="shared" si="18"/>
        <v>0</v>
      </c>
      <c r="AG73" s="56">
        <f t="shared" si="19"/>
        <v>0</v>
      </c>
      <c r="AH73" s="89">
        <f t="shared" si="20"/>
        <v>219.39310229205779</v>
      </c>
      <c r="AI73" s="90" t="e">
        <f>VLOOKUP(Q73,Dados!$T$4:$U$19,2,FALSE)</f>
        <v>#N/A</v>
      </c>
      <c r="AJ73" s="91">
        <v>1</v>
      </c>
    </row>
    <row r="74" spans="1:36" customFormat="1" hidden="1">
      <c r="A74" s="61"/>
      <c r="B74" s="52" t="s">
        <v>134</v>
      </c>
      <c r="C74" s="52"/>
      <c r="D74" s="52"/>
      <c r="E74" s="53"/>
      <c r="F74" s="53"/>
      <c r="G74" s="53" t="s">
        <v>137</v>
      </c>
      <c r="H74" s="53"/>
      <c r="I74" s="54"/>
      <c r="J74" s="55">
        <f t="shared" si="11"/>
        <v>0</v>
      </c>
      <c r="K74" s="56">
        <v>0.92</v>
      </c>
      <c r="L74" s="57">
        <f t="shared" si="12"/>
        <v>0</v>
      </c>
      <c r="M74" s="57">
        <f t="shared" si="13"/>
        <v>0</v>
      </c>
      <c r="N74" s="57">
        <f t="shared" si="14"/>
        <v>0</v>
      </c>
      <c r="O74" s="56"/>
      <c r="P74" s="56" t="s">
        <v>138</v>
      </c>
      <c r="Q74" s="56" t="e">
        <f>IF(R74="PVC",VLOOKUP(O74,Dados!C$3:D$19,2),IF(R74="EPR",VLOOKUP(O74,Dados!C$22:D$38,2)))</f>
        <v>#N/A</v>
      </c>
      <c r="R74" s="56" t="s">
        <v>139</v>
      </c>
      <c r="S74" s="51">
        <f t="shared" si="10"/>
        <v>0</v>
      </c>
      <c r="T74" s="56" t="e">
        <f>IF(R74="PVC",VLOOKUP(Q74,Dados!L$3:M$18,2),IF(R74="EPR",VLOOKUP(Q74,Dados!L$3:N$18,3)))</f>
        <v>#N/A</v>
      </c>
      <c r="U74" s="143" t="s">
        <v>140</v>
      </c>
      <c r="V74" s="62"/>
      <c r="W74" s="145"/>
      <c r="X74" s="140"/>
      <c r="Y74" s="137"/>
      <c r="Z74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4" s="63"/>
      <c r="AB74" s="101" t="e">
        <f t="shared" si="15"/>
        <v>#N/A</v>
      </c>
      <c r="AC74" s="60">
        <v>1</v>
      </c>
      <c r="AD74" s="51">
        <f t="shared" si="16"/>
        <v>0</v>
      </c>
      <c r="AE74" s="56">
        <f t="shared" si="17"/>
        <v>0</v>
      </c>
      <c r="AF74" s="56">
        <f t="shared" si="18"/>
        <v>0</v>
      </c>
      <c r="AG74" s="56">
        <f t="shared" si="19"/>
        <v>0</v>
      </c>
      <c r="AH74" s="89">
        <f t="shared" si="20"/>
        <v>219.39310229205779</v>
      </c>
      <c r="AI74" s="90" t="e">
        <f>VLOOKUP(Q74,Dados!$T$4:$U$19,2,FALSE)</f>
        <v>#N/A</v>
      </c>
      <c r="AJ74" s="91">
        <v>1</v>
      </c>
    </row>
    <row r="75" spans="1:36" customFormat="1" hidden="1">
      <c r="A75" s="52"/>
      <c r="B75" s="52"/>
      <c r="C75" s="52" t="s">
        <v>134</v>
      </c>
      <c r="D75" s="52"/>
      <c r="E75" s="53"/>
      <c r="F75" s="53"/>
      <c r="G75" s="53" t="s">
        <v>137</v>
      </c>
      <c r="H75" s="53"/>
      <c r="I75" s="54"/>
      <c r="J75" s="55">
        <f t="shared" si="11"/>
        <v>0</v>
      </c>
      <c r="K75" s="56">
        <v>0.92</v>
      </c>
      <c r="L75" s="57">
        <f t="shared" si="12"/>
        <v>0</v>
      </c>
      <c r="M75" s="57">
        <f t="shared" si="13"/>
        <v>0</v>
      </c>
      <c r="N75" s="57">
        <f t="shared" si="14"/>
        <v>0</v>
      </c>
      <c r="O75" s="56"/>
      <c r="P75" s="56" t="s">
        <v>138</v>
      </c>
      <c r="Q75" s="56" t="e">
        <f>IF(R75="PVC",VLOOKUP(O75,Dados!C$3:D$19,2),IF(R75="EPR",VLOOKUP(O75,Dados!C$22:D$38,2)))</f>
        <v>#N/A</v>
      </c>
      <c r="R75" s="56" t="s">
        <v>139</v>
      </c>
      <c r="S75" s="51">
        <f t="shared" si="10"/>
        <v>0</v>
      </c>
      <c r="T75" s="56" t="e">
        <f>IF(R75="PVC",VLOOKUP(Q75,Dados!L$3:M$18,2),IF(R75="EPR",VLOOKUP(Q75,Dados!L$3:N$18,3)))</f>
        <v>#N/A</v>
      </c>
      <c r="U75" s="143" t="s">
        <v>140</v>
      </c>
      <c r="V75" s="62"/>
      <c r="W75" s="145"/>
      <c r="X75" s="140"/>
      <c r="Y75" s="137"/>
      <c r="Z75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5" s="63"/>
      <c r="AB75" s="101" t="e">
        <f t="shared" si="15"/>
        <v>#N/A</v>
      </c>
      <c r="AC75" s="60">
        <v>1</v>
      </c>
      <c r="AD75" s="51">
        <f t="shared" si="16"/>
        <v>0</v>
      </c>
      <c r="AE75" s="56">
        <f t="shared" si="17"/>
        <v>0</v>
      </c>
      <c r="AF75" s="56">
        <f t="shared" si="18"/>
        <v>0</v>
      </c>
      <c r="AG75" s="56">
        <f t="shared" si="19"/>
        <v>0</v>
      </c>
      <c r="AH75" s="89">
        <f t="shared" si="20"/>
        <v>219.39310229205779</v>
      </c>
      <c r="AI75" s="90" t="e">
        <f>VLOOKUP(Q75,Dados!$T$4:$U$19,2,FALSE)</f>
        <v>#N/A</v>
      </c>
      <c r="AJ75" s="91">
        <v>1</v>
      </c>
    </row>
    <row r="76" spans="1:36" customFormat="1" hidden="1">
      <c r="A76" s="61" t="s">
        <v>134</v>
      </c>
      <c r="B76" s="52"/>
      <c r="C76" s="52"/>
      <c r="D76" s="52"/>
      <c r="E76" s="53"/>
      <c r="F76" s="53"/>
      <c r="G76" s="53" t="s">
        <v>137</v>
      </c>
      <c r="H76" s="53"/>
      <c r="I76" s="54"/>
      <c r="J76" s="55">
        <f t="shared" si="11"/>
        <v>0</v>
      </c>
      <c r="K76" s="56">
        <v>0.92</v>
      </c>
      <c r="L76" s="57">
        <f t="shared" si="12"/>
        <v>0</v>
      </c>
      <c r="M76" s="57">
        <f t="shared" si="13"/>
        <v>0</v>
      </c>
      <c r="N76" s="57">
        <f t="shared" si="14"/>
        <v>0</v>
      </c>
      <c r="O76" s="56"/>
      <c r="P76" s="56" t="s">
        <v>138</v>
      </c>
      <c r="Q76" s="56" t="e">
        <f>IF(R76="PVC",VLOOKUP(O76,Dados!C$3:D$19,2),IF(R76="EPR",VLOOKUP(O76,Dados!C$22:D$38,2)))</f>
        <v>#N/A</v>
      </c>
      <c r="R76" s="56" t="s">
        <v>139</v>
      </c>
      <c r="S76" s="51">
        <f t="shared" si="10"/>
        <v>0</v>
      </c>
      <c r="T76" s="56" t="e">
        <f>IF(R76="PVC",VLOOKUP(Q76,Dados!L$3:M$18,2),IF(R76="EPR",VLOOKUP(Q76,Dados!L$3:N$18,3)))</f>
        <v>#N/A</v>
      </c>
      <c r="U76" s="143" t="s">
        <v>140</v>
      </c>
      <c r="V76" s="62"/>
      <c r="W76" s="145"/>
      <c r="X76" s="140"/>
      <c r="Y76" s="137"/>
      <c r="Z76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6" s="63"/>
      <c r="AB76" s="101" t="e">
        <f t="shared" si="15"/>
        <v>#N/A</v>
      </c>
      <c r="AC76" s="60">
        <v>1</v>
      </c>
      <c r="AD76" s="51">
        <f t="shared" si="16"/>
        <v>0</v>
      </c>
      <c r="AE76" s="56">
        <f t="shared" si="17"/>
        <v>0</v>
      </c>
      <c r="AF76" s="56">
        <f t="shared" si="18"/>
        <v>0</v>
      </c>
      <c r="AG76" s="56">
        <f t="shared" si="19"/>
        <v>0</v>
      </c>
      <c r="AH76" s="89">
        <f t="shared" si="20"/>
        <v>219.39310229205779</v>
      </c>
      <c r="AI76" s="90" t="e">
        <f>VLOOKUP(Q76,Dados!$T$4:$U$19,2,FALSE)</f>
        <v>#N/A</v>
      </c>
      <c r="AJ76" s="91">
        <v>1</v>
      </c>
    </row>
    <row r="77" spans="1:36" customFormat="1" hidden="1">
      <c r="A77" s="52"/>
      <c r="B77" s="52" t="s">
        <v>134</v>
      </c>
      <c r="C77" s="52"/>
      <c r="D77" s="52"/>
      <c r="E77" s="53"/>
      <c r="F77" s="53"/>
      <c r="G77" s="53" t="s">
        <v>137</v>
      </c>
      <c r="H77" s="53"/>
      <c r="I77" s="54"/>
      <c r="J77" s="55">
        <f t="shared" si="11"/>
        <v>0</v>
      </c>
      <c r="K77" s="56">
        <v>0.92</v>
      </c>
      <c r="L77" s="57">
        <f t="shared" si="12"/>
        <v>0</v>
      </c>
      <c r="M77" s="57">
        <f t="shared" si="13"/>
        <v>0</v>
      </c>
      <c r="N77" s="57">
        <f t="shared" si="14"/>
        <v>0</v>
      </c>
      <c r="O77" s="56"/>
      <c r="P77" s="56" t="s">
        <v>138</v>
      </c>
      <c r="Q77" s="56" t="e">
        <f>IF(R77="PVC",VLOOKUP(O77,Dados!C$3:D$19,2),IF(R77="EPR",VLOOKUP(O77,Dados!C$22:D$38,2)))</f>
        <v>#N/A</v>
      </c>
      <c r="R77" s="56" t="s">
        <v>139</v>
      </c>
      <c r="S77" s="51">
        <f t="shared" si="10"/>
        <v>0</v>
      </c>
      <c r="T77" s="56" t="e">
        <f>IF(R77="PVC",VLOOKUP(Q77,Dados!L$3:M$18,2),IF(R77="EPR",VLOOKUP(Q77,Dados!L$3:N$18,3)))</f>
        <v>#N/A</v>
      </c>
      <c r="U77" s="143" t="s">
        <v>140</v>
      </c>
      <c r="V77" s="62"/>
      <c r="W77" s="145"/>
      <c r="X77" s="149"/>
      <c r="Y77" s="150"/>
      <c r="Z77" s="141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7" s="63"/>
      <c r="AB77" s="101" t="e">
        <f t="shared" si="15"/>
        <v>#N/A</v>
      </c>
      <c r="AC77" s="60">
        <v>1</v>
      </c>
      <c r="AD77" s="51">
        <f t="shared" si="16"/>
        <v>0</v>
      </c>
      <c r="AE77" s="56">
        <f t="shared" si="17"/>
        <v>0</v>
      </c>
      <c r="AF77" s="56">
        <f t="shared" si="18"/>
        <v>0</v>
      </c>
      <c r="AG77" s="56">
        <f t="shared" si="19"/>
        <v>0</v>
      </c>
      <c r="AH77" s="89">
        <f t="shared" si="20"/>
        <v>219.39310229205779</v>
      </c>
      <c r="AI77" s="90" t="e">
        <f>VLOOKUP(Q77,Dados!$T$4:$U$19,2,FALSE)</f>
        <v>#N/A</v>
      </c>
      <c r="AJ77" s="91">
        <v>1</v>
      </c>
    </row>
    <row r="78" spans="1:36" customFormat="1" ht="13.5" thickBot="1">
      <c r="A78" s="52"/>
      <c r="B78" s="52"/>
      <c r="C78" s="52"/>
      <c r="D78" s="65"/>
      <c r="E78" s="270" t="s">
        <v>160</v>
      </c>
      <c r="F78" s="96" t="str">
        <f>CONCATENATE("ESPAÇO RESERVA ",IF(COUNTIF(F19:F77,"*")&lt;6,2,IF(COUNTIF(F19:F77,"*")&lt;12,3,IF(COUNTIF(F19:F77,"*")&lt;30,4,ROUNDUP(COUNTIF(F19:F77,"*")*0.15,0)))))</f>
        <v>ESPAÇO RESERVA 4</v>
      </c>
      <c r="G78" s="66"/>
      <c r="H78" s="66"/>
      <c r="I78" s="59"/>
      <c r="J78" s="64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9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8" s="67"/>
      <c r="AB78" s="59"/>
      <c r="AC78" s="68"/>
      <c r="AD78" s="51"/>
      <c r="AE78" s="68"/>
      <c r="AF78" s="68"/>
      <c r="AG78" s="68"/>
      <c r="AH78" s="89"/>
      <c r="AI78" s="90"/>
      <c r="AJ78" s="92"/>
    </row>
    <row r="79" spans="1:36" customFormat="1" ht="13.5" thickBot="1">
      <c r="F79" s="69" t="s">
        <v>161</v>
      </c>
      <c r="G79" s="69"/>
      <c r="H79" s="69"/>
      <c r="I79" s="99">
        <f>SUM(I18:I77)</f>
        <v>16700</v>
      </c>
      <c r="J79" s="99">
        <f>SUM(J18:J77)</f>
        <v>15364</v>
      </c>
      <c r="K79" s="69"/>
      <c r="L79" s="70">
        <f>SUM(L19:L77)</f>
        <v>4600</v>
      </c>
      <c r="M79" s="70">
        <f>SUM(M19:M77)</f>
        <v>3600</v>
      </c>
      <c r="N79" s="70">
        <f>SUM(N19:N77)</f>
        <v>8500</v>
      </c>
      <c r="O79" s="71"/>
      <c r="Z79" s="9">
        <f>IFERROR(IF(_QD01[[#This Row],[Colunas19]]&lt;0.3*_QD01[[#This Row],[Colunas20]],_QD01[[#This Row],[Colunas19]],_QD01[[#This Row],[Colunas19]]/(INDEX(Dados!$Y:$AD,IFERROR(MATCH(COUNTIF($X$18:$X$76,_QD01[[#This Row],[Colunas254]]),Dados!$Y:$Y,0),(MATCH(COUNTIF($X$18:$X$76,_QD01[[#This Row],[Colunas254]]),Dados!$Y:$Y,)+1)),1+VALUE(MID(_QD01[[#This Row],[Colunas253]],6,1))))),0)</f>
        <v>0</v>
      </c>
      <c r="AA79" s="146"/>
      <c r="AB79" s="147"/>
      <c r="AC79" s="123">
        <f>SUM(AE79:AG79)/SUM(L79:N79)</f>
        <v>1</v>
      </c>
      <c r="AD79" s="83"/>
      <c r="AE79" s="72">
        <f>SUM(AE19:AE78)</f>
        <v>4600</v>
      </c>
      <c r="AF79" s="73">
        <f>SUM(AF19:AF78)</f>
        <v>3600</v>
      </c>
      <c r="AG79" s="73">
        <f>SUM(AG19:AG78)</f>
        <v>8500</v>
      </c>
      <c r="AH79" s="93"/>
      <c r="AI79" s="94"/>
      <c r="AJ79" s="95"/>
    </row>
    <row r="80" spans="1:36">
      <c r="L80" s="40"/>
      <c r="M80" s="40"/>
      <c r="N80" s="40"/>
      <c r="O80" s="40"/>
      <c r="AC80" s="41"/>
      <c r="AD80" s="41"/>
      <c r="AE80" s="213" t="s">
        <v>161</v>
      </c>
      <c r="AF80" s="213"/>
      <c r="AG80" s="213"/>
    </row>
    <row r="82" spans="6:19" ht="13.5" thickBot="1">
      <c r="F82" s="23"/>
    </row>
    <row r="83" spans="6:19" ht="14.25" thickTop="1" thickBot="1">
      <c r="F83" s="164" t="s">
        <v>162</v>
      </c>
      <c r="G83" s="165"/>
      <c r="H83" s="165"/>
      <c r="I83" s="165"/>
      <c r="J83" s="165"/>
      <c r="K83" s="165"/>
      <c r="L83" s="166"/>
    </row>
    <row r="84" spans="6:19" ht="13.5" thickBot="1">
      <c r="F84" s="167"/>
      <c r="G84" s="168"/>
      <c r="H84" s="168"/>
      <c r="I84" s="168"/>
      <c r="J84" s="168"/>
      <c r="K84" s="168"/>
      <c r="L84" s="169"/>
    </row>
    <row r="85" spans="6:19" ht="13.5" thickBot="1">
      <c r="F85" s="152"/>
      <c r="G85" s="248" t="s">
        <v>163</v>
      </c>
      <c r="H85" s="248"/>
      <c r="I85" s="248"/>
      <c r="J85" s="248"/>
      <c r="K85" s="248"/>
      <c r="L85" s="249"/>
    </row>
    <row r="86" spans="6:19" ht="13.5" thickBot="1">
      <c r="F86" s="153"/>
      <c r="G86" s="250" t="s">
        <v>164</v>
      </c>
      <c r="H86" s="250"/>
      <c r="I86" s="250"/>
      <c r="J86" s="250"/>
      <c r="K86" s="250"/>
      <c r="L86" s="251"/>
      <c r="M86" s="42"/>
      <c r="O86" s="23"/>
      <c r="S86" s="42"/>
    </row>
    <row r="87" spans="6:19" ht="13.5" thickBot="1">
      <c r="F87" s="154"/>
      <c r="G87" s="252" t="s">
        <v>165</v>
      </c>
      <c r="H87" s="253"/>
      <c r="I87" s="253"/>
      <c r="J87" s="253"/>
      <c r="K87" s="253"/>
      <c r="L87" s="254"/>
      <c r="S87" s="42"/>
    </row>
    <row r="88" spans="6:19" ht="17.25" thickBot="1">
      <c r="F88" s="155"/>
      <c r="G88" s="252" t="s">
        <v>166</v>
      </c>
      <c r="H88" s="255"/>
      <c r="I88" s="255"/>
      <c r="J88" s="255"/>
      <c r="K88" s="255"/>
      <c r="L88" s="256"/>
      <c r="N88" s="151"/>
    </row>
    <row r="89" spans="6:19" ht="17.25" thickBot="1">
      <c r="F89" s="156"/>
      <c r="G89" s="257" t="s">
        <v>167</v>
      </c>
      <c r="H89" s="258"/>
      <c r="I89" s="258"/>
      <c r="J89" s="258"/>
      <c r="K89" s="258"/>
      <c r="L89" s="259"/>
      <c r="N89" s="151"/>
    </row>
    <row r="90" spans="6:19" ht="13.5" thickTop="1"/>
  </sheetData>
  <sheetProtection selectLockedCells="1"/>
  <dataConsolidate/>
  <mergeCells count="73">
    <mergeCell ref="G85:L85"/>
    <mergeCell ref="G86:L86"/>
    <mergeCell ref="G87:L87"/>
    <mergeCell ref="G88:L88"/>
    <mergeCell ref="G89:L89"/>
    <mergeCell ref="AD16:AD17"/>
    <mergeCell ref="A4:D15"/>
    <mergeCell ref="E4:E13"/>
    <mergeCell ref="G4:G5"/>
    <mergeCell ref="I4:J4"/>
    <mergeCell ref="K4:K13"/>
    <mergeCell ref="I5:J5"/>
    <mergeCell ref="I11:J11"/>
    <mergeCell ref="I7:J7"/>
    <mergeCell ref="G15:K15"/>
    <mergeCell ref="O15:T15"/>
    <mergeCell ref="L8:M8"/>
    <mergeCell ref="T8:T9"/>
    <mergeCell ref="S10:S11"/>
    <mergeCell ref="A16:A17"/>
    <mergeCell ref="X16:Z16"/>
    <mergeCell ref="E1:F1"/>
    <mergeCell ref="AE80:AG80"/>
    <mergeCell ref="L4:M4"/>
    <mergeCell ref="S6:S7"/>
    <mergeCell ref="T6:T7"/>
    <mergeCell ref="R7:R13"/>
    <mergeCell ref="S12:S13"/>
    <mergeCell ref="T12:T13"/>
    <mergeCell ref="I12:J12"/>
    <mergeCell ref="I13:J13"/>
    <mergeCell ref="I8:J8"/>
    <mergeCell ref="I9:J9"/>
    <mergeCell ref="L9:M10"/>
    <mergeCell ref="I10:J10"/>
    <mergeCell ref="V6:W7"/>
    <mergeCell ref="O10:P10"/>
    <mergeCell ref="S8:S9"/>
    <mergeCell ref="L11:M11"/>
    <mergeCell ref="R4:R6"/>
    <mergeCell ref="L5:M7"/>
    <mergeCell ref="U16:W16"/>
    <mergeCell ref="U6:U7"/>
    <mergeCell ref="S16:S17"/>
    <mergeCell ref="T16:T17"/>
    <mergeCell ref="R16:R17"/>
    <mergeCell ref="Q4:Q13"/>
    <mergeCell ref="I16:J16"/>
    <mergeCell ref="L16:N16"/>
    <mergeCell ref="O16:O17"/>
    <mergeCell ref="P16:P17"/>
    <mergeCell ref="Q16:Q17"/>
    <mergeCell ref="B16:B17"/>
    <mergeCell ref="C16:C17"/>
    <mergeCell ref="E16:E17"/>
    <mergeCell ref="F16:F17"/>
    <mergeCell ref="G16:G17"/>
    <mergeCell ref="F83:L84"/>
    <mergeCell ref="AH16:AH17"/>
    <mergeCell ref="AI16:AI17"/>
    <mergeCell ref="AJ16:AJ17"/>
    <mergeCell ref="L2:M3"/>
    <mergeCell ref="AE16:AG16"/>
    <mergeCell ref="AC16:AC17"/>
    <mergeCell ref="AA16:AA17"/>
    <mergeCell ref="AB16:AB17"/>
    <mergeCell ref="L12:M13"/>
    <mergeCell ref="O12:P12"/>
    <mergeCell ref="N4:N13"/>
    <mergeCell ref="T10:T11"/>
    <mergeCell ref="S4:S5"/>
    <mergeCell ref="T4:T5"/>
    <mergeCell ref="O11:P11"/>
  </mergeCells>
  <phoneticPr fontId="4" type="noConversion"/>
  <conditionalFormatting sqref="O18">
    <cfRule type="cellIs" dxfId="203" priority="14" operator="greaterThan">
      <formula>16</formula>
    </cfRule>
    <cfRule type="cellIs" dxfId="202" priority="15" operator="notEqual">
      <formula>#REF!</formula>
    </cfRule>
  </conditionalFormatting>
  <conditionalFormatting sqref="T6:W7">
    <cfRule type="expression" dxfId="201" priority="3">
      <formula>ISBLANK($T$6)</formula>
    </cfRule>
  </conditionalFormatting>
  <conditionalFormatting sqref="U18">
    <cfRule type="cellIs" dxfId="200" priority="13" operator="notEqual">
      <formula>#REF!</formula>
    </cfRule>
  </conditionalFormatting>
  <conditionalFormatting sqref="U18:U77">
    <cfRule type="cellIs" dxfId="199" priority="8" operator="equal">
      <formula>"SIM"</formula>
    </cfRule>
  </conditionalFormatting>
  <conditionalFormatting sqref="U19">
    <cfRule type="cellIs" dxfId="198" priority="28" operator="notEqual">
      <formula>#REF!</formula>
    </cfRule>
  </conditionalFormatting>
  <conditionalFormatting sqref="U19:U77">
    <cfRule type="cellIs" dxfId="197" priority="23" operator="notEqual">
      <formula>#REF!</formula>
    </cfRule>
  </conditionalFormatting>
  <conditionalFormatting sqref="V18">
    <cfRule type="cellIs" dxfId="196" priority="10" operator="notEqual">
      <formula>#REF!</formula>
    </cfRule>
  </conditionalFormatting>
  <conditionalFormatting sqref="V18:V77">
    <cfRule type="cellIs" dxfId="195" priority="9" operator="greaterThan">
      <formula>16</formula>
    </cfRule>
  </conditionalFormatting>
  <conditionalFormatting sqref="V19">
    <cfRule type="cellIs" dxfId="194" priority="25" operator="notEqual">
      <formula>#REF!</formula>
    </cfRule>
  </conditionalFormatting>
  <conditionalFormatting sqref="V20:V77">
    <cfRule type="cellIs" dxfId="193" priority="20" operator="notEqual">
      <formula>#REF!</formula>
    </cfRule>
  </conditionalFormatting>
  <conditionalFormatting sqref="W19">
    <cfRule type="cellIs" dxfId="192" priority="26" operator="greaterThan">
      <formula>16</formula>
    </cfRule>
    <cfRule type="cellIs" dxfId="191" priority="27" operator="notEqual">
      <formula>#REF!</formula>
    </cfRule>
  </conditionalFormatting>
  <conditionalFormatting sqref="W18:Z18">
    <cfRule type="cellIs" dxfId="190" priority="11" operator="greaterThan">
      <formula>16</formula>
    </cfRule>
    <cfRule type="cellIs" dxfId="189" priority="12" operator="notEqual">
      <formula>#REF!</formula>
    </cfRule>
  </conditionalFormatting>
  <conditionalFormatting sqref="Z19:Z79">
    <cfRule type="expression" dxfId="188" priority="1">
      <formula>$Z19&gt;$T19</formula>
    </cfRule>
  </conditionalFormatting>
  <conditionalFormatting sqref="AB19:AB77">
    <cfRule type="expression" dxfId="187" priority="4">
      <formula>($AB19)&gt;=0.03</formula>
    </cfRule>
  </conditionalFormatting>
  <conditionalFormatting sqref="AJ18:AJ78">
    <cfRule type="cellIs" dxfId="186" priority="5" operator="equal">
      <formula>0</formula>
    </cfRule>
  </conditionalFormatting>
  <dataValidations xWindow="889" yWindow="474" count="16">
    <dataValidation type="list" showInputMessage="1" showErrorMessage="1" promptTitle="Isolação do cabo" prompt="Selecione o tipo de isolação_x000a_PVC = 70ºC_x000a_EPR = 90ºC" sqref="R19:R78 S78:AA78" xr:uid="{00000000-0002-0000-0200-000000000000}">
      <formula1>iso</formula1>
    </dataValidation>
    <dataValidation type="list" allowBlank="1" showInputMessage="1" showErrorMessage="1" promptTitle="curva " prompt="selecione a curva do disjuntor" sqref="P19:P77" xr:uid="{00000000-0002-0000-0200-000001000000}">
      <formula1>cu</formula1>
    </dataValidation>
    <dataValidation type="decimal" operator="lessThanOrEqual" allowBlank="1" showInputMessage="1" showErrorMessage="1" sqref="K19:K77" xr:uid="{00000000-0002-0000-0200-000002000000}">
      <formula1>1</formula1>
    </dataValidation>
    <dataValidation type="decimal" allowBlank="1" showInputMessage="1" showErrorMessage="1" sqref="AC19:AC77" xr:uid="{00000000-0002-0000-0200-000003000000}">
      <formula1>0</formula1>
      <formula2>100</formula2>
    </dataValidation>
    <dataValidation type="list" allowBlank="1" showInputMessage="1" showErrorMessage="1" sqref="U19:U77" xr:uid="{00000000-0002-0000-0200-000004000000}">
      <formula1>"SIM,NÃO,"</formula1>
    </dataValidation>
    <dataValidation type="list" allowBlank="1" showInputMessage="1" showErrorMessage="1" sqref="O11:P11" xr:uid="{00000000-0002-0000-0200-000005000000}">
      <formula1>"EXISTENTE,EPR,PVC,"</formula1>
    </dataValidation>
    <dataValidation type="list" allowBlank="1" showInputMessage="1" showErrorMessage="1" sqref="P9" xr:uid="{00000000-0002-0000-0200-000006000000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</x12ac:list>
        </mc:Choice>
        <mc:Fallback>
          <formula1>"2,5,4,6,10,16,25,35,50,70,95,120,150,185,240,EXISTENTE"</formula1>
        </mc:Fallback>
      </mc:AlternateContent>
    </dataValidation>
    <dataValidation type="list" allowBlank="1" showInputMessage="1" showErrorMessage="1" sqref="L12:M13" xr:uid="{00000000-0002-0000-0200-000007000000}">
      <formula1>"SOBREPOR,EMBUTIR"</formula1>
    </dataValidation>
    <dataValidation type="list" allowBlank="1" showInputMessage="1" showErrorMessage="1" sqref="I4:J4" xr:uid="{00000000-0002-0000-0200-000008000000}">
      <formula1>"F+N,2F,3F"</formula1>
    </dataValidation>
    <dataValidation type="list" allowBlank="1" showInputMessage="1" showErrorMessage="1" sqref="P5 P7" xr:uid="{00000000-0002-0000-0200-000009000000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"2,5",4,6,10,16,25,35,50,70,95,120,150,185,240,EXISTENTE,</x12ac:list>
        </mc:Choice>
        <mc:Fallback>
          <formula1>"2,5,4,6,10,16,25,35,50,70,95,120,150,185,240,EXISTENTE,"</formula1>
        </mc:Fallback>
      </mc:AlternateContent>
    </dataValidation>
    <dataValidation type="list" showInputMessage="1" showErrorMessage="1" sqref="I5:J5" xr:uid="{00000000-0002-0000-0200-00000A000000}">
      <formula1>"EXISTENTE,16,20,25,32,40,50,63,70,80,100,125,150,160,200,225,250,300,315,350,400,450,600,630,800,1000,1200,1250,1500,1600,2000,2600,3000,3200,4000,6000"</formula1>
    </dataValidation>
    <dataValidation type="list" allowBlank="1" showInputMessage="1" showErrorMessage="1" sqref="V19:V77" xr:uid="{00000000-0002-0000-0200-00000B000000}">
      <formula1>"2P,4P"</formula1>
    </dataValidation>
    <dataValidation type="list" allowBlank="1" showInputMessage="1" showErrorMessage="1" sqref="W19" xr:uid="{00000000-0002-0000-0200-00000C000000}">
      <formula1>",25A 30mA,40A 30mA,63A 30mA,80A 30mA"</formula1>
    </dataValidation>
    <dataValidation type="list" allowBlank="1" showInputMessage="1" showErrorMessage="1" sqref="W20:W77" xr:uid="{00000000-0002-0000-0200-00000D000000}">
      <formula1>"25A 30mA,40A 30mA,63A 30mA,80A 30mA"</formula1>
    </dataValidation>
    <dataValidation type="list" showInputMessage="1" showErrorMessage="1" errorTitle="Erro" error="Selecione um sistema" promptTitle="Sistema de alimentação" prompt="Selecione o sistema de alimentação" sqref="G19:G78" xr:uid="{00000000-0002-0000-0200-00000E000000}">
      <formula1>ALI</formula1>
    </dataValidation>
    <dataValidation type="list" allowBlank="1" showInputMessage="1" showErrorMessage="1" sqref="O19:O78" xr:uid="{00000000-0002-0000-0200-00000F000000}">
      <formula1>"10,16,20,25,32,40,50,63,70,80,100,125,150,160,200,225,250,300,315,350,400,450,600,630,800,1000,1200,1250,1500,1600,2000,2600,3000,3200,4000,6000,EXISTENTE"</formula1>
    </dataValidation>
  </dataValidations>
  <pageMargins left="0.25" right="0.25" top="0.75" bottom="0.75" header="0.3" footer="0.3"/>
  <pageSetup paperSize="9" scale="7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889" yWindow="474" count="1">
        <x14:dataValidation type="list" allowBlank="1" showInputMessage="1" showErrorMessage="1" xr:uid="{3991A212-EA22-4C0D-96AC-D66E66E84BD6}">
          <x14:formula1>
            <xm:f>Dados!$Z$3:$AD$3</xm:f>
          </x14:formula1>
          <xm:sqref>Y19:Y77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A78E-C77D-4A10-AF20-4DCD968B9CD2}">
  <sheetPr>
    <tabColor rgb="FFFF9900"/>
    <pageSetUpPr fitToPage="1"/>
  </sheetPr>
  <dimension ref="A1:AK90"/>
  <sheetViews>
    <sheetView zoomScaleNormal="100" zoomScaleSheetLayoutView="82" workbookViewId="0">
      <selection activeCell="I1" sqref="G1:I1048576"/>
    </sheetView>
  </sheetViews>
  <sheetFormatPr defaultRowHeight="12.75" outlineLevelCol="2"/>
  <cols>
    <col min="1" max="3" width="2.5703125" style="10" customWidth="1"/>
    <col min="4" max="4" width="11.7109375" style="10" hidden="1" customWidth="1"/>
    <col min="5" max="5" width="11.7109375" style="10" customWidth="1"/>
    <col min="6" max="6" width="33.42578125" style="10" customWidth="1"/>
    <col min="7" max="7" width="12.42578125" style="10" customWidth="1"/>
    <col min="8" max="8" width="2.28515625" style="10" hidden="1" customWidth="1"/>
    <col min="9" max="9" width="11.7109375" style="10" customWidth="1"/>
    <col min="10" max="10" width="12.7109375" style="10" customWidth="1"/>
    <col min="11" max="11" width="8.140625" style="10" customWidth="1"/>
    <col min="12" max="14" width="10" style="10" customWidth="1"/>
    <col min="15" max="15" width="10.5703125" style="10" customWidth="1"/>
    <col min="16" max="16" width="12.7109375" style="10" customWidth="1"/>
    <col min="17" max="17" width="11.140625" style="10" customWidth="1"/>
    <col min="18" max="18" width="18" style="10" bestFit="1" customWidth="1"/>
    <col min="19" max="20" width="12.7109375" style="10" customWidth="1"/>
    <col min="21" max="23" width="12.7109375" style="10" customWidth="1" outlineLevel="1"/>
    <col min="24" max="24" width="9.140625" style="10" customWidth="1" outlineLevel="2"/>
    <col min="25" max="25" width="69.5703125" style="10" bestFit="1" customWidth="1" outlineLevel="2"/>
    <col min="26" max="26" width="12.5703125" style="10" bestFit="1" customWidth="1" outlineLevel="2"/>
    <col min="27" max="27" width="9.140625" style="10" customWidth="1" outlineLevel="1"/>
    <col min="28" max="28" width="12.28515625" style="10" customWidth="1"/>
    <col min="29" max="29" width="12.7109375" style="10" customWidth="1"/>
    <col min="30" max="33" width="12.7109375" style="10" customWidth="1" outlineLevel="1"/>
    <col min="34" max="37" width="9.140625" style="10" customWidth="1" outlineLevel="1"/>
    <col min="38" max="16384" width="9.140625" style="10"/>
  </cols>
  <sheetData>
    <row r="1" spans="1:36" ht="13.5" thickBot="1">
      <c r="E1" s="211" t="str">
        <f>CONCATENATE("VEM DO QUADRO ",INDEX(ALIMENTADORES!$1:$1048576,MATCH(NOME_DO_QUADRO,ALIMENTADORES!C:C,0),2))</f>
        <v xml:space="preserve">VEM DO QUADRO </v>
      </c>
      <c r="F1" s="212"/>
    </row>
    <row r="2" spans="1:36">
      <c r="L2" s="265" t="s">
        <v>25</v>
      </c>
      <c r="M2" s="172"/>
    </row>
    <row r="3" spans="1:36" ht="13.5" thickBot="1">
      <c r="L3" s="173"/>
      <c r="M3" s="173"/>
      <c r="N3" s="98" t="str">
        <f>VLOOKUP($L$5,ALIMENTADORES!$C$4:$N$13,12,FALSE)</f>
        <v/>
      </c>
    </row>
    <row r="4" spans="1:36" ht="17.25" customHeight="1">
      <c r="A4" s="227" t="s">
        <v>26</v>
      </c>
      <c r="B4" s="228"/>
      <c r="C4" s="228"/>
      <c r="D4" s="229"/>
      <c r="E4" s="187" t="s">
        <v>27</v>
      </c>
      <c r="F4" s="266" t="s">
        <v>28</v>
      </c>
      <c r="G4" s="236">
        <v>380</v>
      </c>
      <c r="H4" s="11">
        <f>IF(I4="F+N",G4,G4/SQRT(3))</f>
        <v>219.39310229205779</v>
      </c>
      <c r="I4" s="238" t="s">
        <v>29</v>
      </c>
      <c r="J4" s="239"/>
      <c r="K4" s="187" t="s">
        <v>30</v>
      </c>
      <c r="L4" s="214" t="s">
        <v>31</v>
      </c>
      <c r="M4" s="215"/>
      <c r="N4" s="187" t="s">
        <v>32</v>
      </c>
      <c r="O4" s="12" t="s">
        <v>33</v>
      </c>
      <c r="P4" s="267" t="s">
        <v>34</v>
      </c>
      <c r="Q4" s="187" t="s">
        <v>35</v>
      </c>
      <c r="R4" s="198" t="s">
        <v>36</v>
      </c>
      <c r="S4" s="190" t="s">
        <v>37</v>
      </c>
      <c r="T4" s="191">
        <v>54</v>
      </c>
    </row>
    <row r="5" spans="1:36" ht="15.75" customHeight="1" thickBot="1">
      <c r="A5" s="230"/>
      <c r="B5" s="231"/>
      <c r="C5" s="231"/>
      <c r="D5" s="232"/>
      <c r="E5" s="188"/>
      <c r="F5" s="13" t="s">
        <v>38</v>
      </c>
      <c r="G5" s="237"/>
      <c r="H5" s="14"/>
      <c r="I5" s="240"/>
      <c r="J5" s="241"/>
      <c r="K5" s="188"/>
      <c r="L5" s="204"/>
      <c r="M5" s="205"/>
      <c r="N5" s="188"/>
      <c r="O5" s="15">
        <v>3</v>
      </c>
      <c r="P5" s="16"/>
      <c r="Q5" s="188"/>
      <c r="R5" s="203"/>
      <c r="S5" s="185"/>
      <c r="T5" s="186"/>
    </row>
    <row r="6" spans="1:36" ht="15" customHeight="1" thickBot="1">
      <c r="A6" s="230"/>
      <c r="B6" s="231"/>
      <c r="C6" s="231"/>
      <c r="D6" s="232"/>
      <c r="E6" s="188"/>
      <c r="F6" s="17"/>
      <c r="G6" s="18"/>
      <c r="H6" s="18"/>
      <c r="I6" s="18"/>
      <c r="J6" s="19"/>
      <c r="K6" s="188"/>
      <c r="L6" s="204"/>
      <c r="M6" s="205"/>
      <c r="N6" s="188"/>
      <c r="O6" s="20" t="s">
        <v>33</v>
      </c>
      <c r="P6" s="268" t="s">
        <v>40</v>
      </c>
      <c r="Q6" s="188"/>
      <c r="R6" s="203"/>
      <c r="S6" s="185" t="s">
        <v>41</v>
      </c>
      <c r="T6" s="216"/>
      <c r="U6" s="210" t="s">
        <v>43</v>
      </c>
      <c r="V6" s="210" t="s">
        <v>44</v>
      </c>
      <c r="W6" s="210"/>
    </row>
    <row r="7" spans="1:36" ht="13.5" customHeight="1" thickBot="1">
      <c r="A7" s="230"/>
      <c r="B7" s="231"/>
      <c r="C7" s="231"/>
      <c r="D7" s="232"/>
      <c r="E7" s="188"/>
      <c r="F7" s="21" t="s">
        <v>45</v>
      </c>
      <c r="G7" s="40"/>
      <c r="I7" s="242" t="e">
        <f>(MAX(L79:N79)*IF(I4="3F",3,IF(I4="2F",2,IF(I4="F+N",1)))*G10+I9)/G4/IF(I4="3F",SQRT(3),1)</f>
        <v>#DIV/0!</v>
      </c>
      <c r="J7" s="243"/>
      <c r="K7" s="188"/>
      <c r="L7" s="206"/>
      <c r="M7" s="207"/>
      <c r="N7" s="188"/>
      <c r="O7" s="15">
        <v>1</v>
      </c>
      <c r="P7" s="16"/>
      <c r="Q7" s="188"/>
      <c r="R7" s="217"/>
      <c r="S7" s="185"/>
      <c r="T7" s="216"/>
      <c r="U7" s="210"/>
      <c r="V7" s="210"/>
      <c r="W7" s="210"/>
    </row>
    <row r="8" spans="1:36">
      <c r="A8" s="230"/>
      <c r="B8" s="231"/>
      <c r="C8" s="231"/>
      <c r="D8" s="232"/>
      <c r="E8" s="188"/>
      <c r="F8" s="22" t="s">
        <v>47</v>
      </c>
      <c r="G8" s="46"/>
      <c r="H8" s="47"/>
      <c r="I8" s="225" t="e">
        <f>SUM(I9:J10)</f>
        <v>#DIV/0!</v>
      </c>
      <c r="J8" s="226"/>
      <c r="K8" s="188"/>
      <c r="L8" s="201" t="s">
        <v>48</v>
      </c>
      <c r="M8" s="202"/>
      <c r="N8" s="188"/>
      <c r="O8" s="20" t="s">
        <v>33</v>
      </c>
      <c r="P8" s="268" t="s">
        <v>49</v>
      </c>
      <c r="Q8" s="188"/>
      <c r="R8" s="217"/>
      <c r="S8" s="185" t="s">
        <v>50</v>
      </c>
      <c r="T8" s="186" t="s">
        <v>51</v>
      </c>
      <c r="AB8" s="23"/>
    </row>
    <row r="9" spans="1:36" ht="12.75" customHeight="1">
      <c r="A9" s="230"/>
      <c r="B9" s="231"/>
      <c r="C9" s="231"/>
      <c r="D9" s="232"/>
      <c r="E9" s="188"/>
      <c r="F9" s="22" t="s">
        <v>52</v>
      </c>
      <c r="G9" s="48"/>
      <c r="H9" s="47"/>
      <c r="I9" s="225" t="e">
        <f>I10*G9</f>
        <v>#DIV/0!</v>
      </c>
      <c r="J9" s="226"/>
      <c r="K9" s="188"/>
      <c r="L9" s="181"/>
      <c r="M9" s="182"/>
      <c r="N9" s="188"/>
      <c r="O9" s="15">
        <v>1</v>
      </c>
      <c r="P9" s="16"/>
      <c r="Q9" s="188"/>
      <c r="R9" s="217"/>
      <c r="S9" s="185"/>
      <c r="T9" s="186"/>
      <c r="AB9" s="269"/>
    </row>
    <row r="10" spans="1:36" ht="13.5" customHeight="1" thickBot="1">
      <c r="A10" s="230"/>
      <c r="B10" s="231"/>
      <c r="C10" s="231"/>
      <c r="D10" s="232"/>
      <c r="E10" s="188"/>
      <c r="F10" s="22" t="s">
        <v>54</v>
      </c>
      <c r="G10" s="48" t="e">
        <f>AC79</f>
        <v>#DIV/0!</v>
      </c>
      <c r="H10" s="47"/>
      <c r="I10" s="225" t="e">
        <f>I11*G10</f>
        <v>#DIV/0!</v>
      </c>
      <c r="J10" s="226"/>
      <c r="K10" s="188"/>
      <c r="L10" s="181"/>
      <c r="M10" s="182"/>
      <c r="N10" s="188"/>
      <c r="O10" s="185" t="s">
        <v>55</v>
      </c>
      <c r="P10" s="186"/>
      <c r="Q10" s="188"/>
      <c r="R10" s="217"/>
      <c r="S10" s="185" t="s">
        <v>56</v>
      </c>
      <c r="T10" s="186" t="s">
        <v>57</v>
      </c>
    </row>
    <row r="11" spans="1:36" ht="15">
      <c r="A11" s="230"/>
      <c r="B11" s="231"/>
      <c r="C11" s="231"/>
      <c r="D11" s="232"/>
      <c r="E11" s="188"/>
      <c r="F11" s="22" t="s">
        <v>58</v>
      </c>
      <c r="G11" s="46"/>
      <c r="H11" s="47"/>
      <c r="I11" s="225">
        <f>SUM(I18:I77)</f>
        <v>0</v>
      </c>
      <c r="J11" s="226"/>
      <c r="K11" s="188"/>
      <c r="L11" s="201" t="s">
        <v>59</v>
      </c>
      <c r="M11" s="202"/>
      <c r="N11" s="188"/>
      <c r="O11" s="192" t="s">
        <v>60</v>
      </c>
      <c r="P11" s="193"/>
      <c r="Q11" s="188"/>
      <c r="R11" s="217"/>
      <c r="S11" s="185"/>
      <c r="T11" s="186"/>
    </row>
    <row r="12" spans="1:36">
      <c r="A12" s="230"/>
      <c r="B12" s="231"/>
      <c r="C12" s="231"/>
      <c r="D12" s="232"/>
      <c r="E12" s="188"/>
      <c r="F12" s="22" t="s">
        <v>61</v>
      </c>
      <c r="G12" s="46"/>
      <c r="H12" s="47"/>
      <c r="I12" s="221" t="e">
        <f>AVERAGE(L79:N79)/MAX(L79:N79)</f>
        <v>#DIV/0!</v>
      </c>
      <c r="J12" s="222"/>
      <c r="K12" s="188"/>
      <c r="L12" s="181"/>
      <c r="M12" s="182"/>
      <c r="N12" s="188"/>
      <c r="O12" s="185" t="s">
        <v>63</v>
      </c>
      <c r="P12" s="186"/>
      <c r="Q12" s="188"/>
      <c r="R12" s="217"/>
      <c r="S12" s="185" t="s">
        <v>64</v>
      </c>
      <c r="T12" s="186" t="s">
        <v>65</v>
      </c>
    </row>
    <row r="13" spans="1:36" ht="13.5" thickBot="1">
      <c r="A13" s="230"/>
      <c r="B13" s="231"/>
      <c r="C13" s="231"/>
      <c r="D13" s="232"/>
      <c r="E13" s="189"/>
      <c r="F13" s="24" t="s">
        <v>66</v>
      </c>
      <c r="G13" s="49"/>
      <c r="H13" s="14"/>
      <c r="I13" s="223" t="e">
        <f>SUM($J79)/SUM($L79:$N79)</f>
        <v>#DIV/0!</v>
      </c>
      <c r="J13" s="224"/>
      <c r="K13" s="189"/>
      <c r="L13" s="183"/>
      <c r="M13" s="184"/>
      <c r="N13" s="189"/>
      <c r="O13" s="25"/>
      <c r="P13" s="26" t="s">
        <v>67</v>
      </c>
      <c r="Q13" s="189"/>
      <c r="R13" s="218"/>
      <c r="S13" s="219"/>
      <c r="T13" s="220"/>
    </row>
    <row r="14" spans="1:36" ht="13.5" thickBot="1">
      <c r="A14" s="230"/>
      <c r="B14" s="231"/>
      <c r="C14" s="231"/>
      <c r="D14" s="232"/>
      <c r="T14" s="27"/>
    </row>
    <row r="15" spans="1:36" ht="13.5" hidden="1" customHeight="1">
      <c r="A15" s="233"/>
      <c r="B15" s="234"/>
      <c r="C15" s="234"/>
      <c r="D15" s="235"/>
      <c r="G15" s="244" t="s">
        <v>68</v>
      </c>
      <c r="H15" s="244"/>
      <c r="I15" s="244"/>
      <c r="J15" s="244"/>
      <c r="K15" s="244"/>
      <c r="L15" s="28" t="e">
        <f>#REF!</f>
        <v>#REF!</v>
      </c>
      <c r="M15" s="28" t="e">
        <f>#REF!</f>
        <v>#REF!</v>
      </c>
      <c r="N15" s="28" t="e">
        <f>#REF!</f>
        <v>#REF!</v>
      </c>
      <c r="O15" s="244" t="s">
        <v>69</v>
      </c>
      <c r="P15" s="244"/>
      <c r="Q15" s="244"/>
      <c r="R15" s="244"/>
      <c r="S15" s="244"/>
      <c r="T15" s="245"/>
    </row>
    <row r="16" spans="1:36" ht="13.5" customHeight="1" thickBot="1">
      <c r="A16" s="246" t="s">
        <v>70</v>
      </c>
      <c r="B16" s="194" t="s">
        <v>71</v>
      </c>
      <c r="C16" s="194" t="s">
        <v>72</v>
      </c>
      <c r="D16" s="29"/>
      <c r="E16" s="196" t="s">
        <v>73</v>
      </c>
      <c r="F16" s="198" t="s">
        <v>74</v>
      </c>
      <c r="G16" s="171" t="s">
        <v>75</v>
      </c>
      <c r="H16" s="30"/>
      <c r="I16" s="174" t="s">
        <v>76</v>
      </c>
      <c r="J16" s="174"/>
      <c r="K16" s="30"/>
      <c r="L16" s="174" t="s">
        <v>77</v>
      </c>
      <c r="M16" s="174"/>
      <c r="N16" s="174"/>
      <c r="O16" s="200" t="s">
        <v>78</v>
      </c>
      <c r="P16" s="175" t="s">
        <v>79</v>
      </c>
      <c r="Q16" s="200" t="s">
        <v>80</v>
      </c>
      <c r="R16" s="171" t="s">
        <v>81</v>
      </c>
      <c r="S16" s="171" t="s">
        <v>82</v>
      </c>
      <c r="T16" s="208" t="s">
        <v>83</v>
      </c>
      <c r="U16" s="208" t="s">
        <v>84</v>
      </c>
      <c r="V16" s="209"/>
      <c r="W16" s="170"/>
      <c r="X16" s="208" t="s">
        <v>85</v>
      </c>
      <c r="Y16" s="209"/>
      <c r="Z16" s="170"/>
      <c r="AA16" s="177" t="s">
        <v>86</v>
      </c>
      <c r="AB16" s="179" t="s">
        <v>87</v>
      </c>
      <c r="AC16" s="175" t="s">
        <v>88</v>
      </c>
      <c r="AD16" s="175" t="s">
        <v>89</v>
      </c>
      <c r="AE16" s="174" t="s">
        <v>90</v>
      </c>
      <c r="AF16" s="174"/>
      <c r="AG16" s="174"/>
      <c r="AH16" s="170" t="s">
        <v>91</v>
      </c>
      <c r="AI16" s="170" t="s">
        <v>8</v>
      </c>
      <c r="AJ16" s="171" t="s">
        <v>9</v>
      </c>
    </row>
    <row r="17" spans="1:36" ht="13.5" thickBot="1">
      <c r="A17" s="247"/>
      <c r="B17" s="195"/>
      <c r="C17" s="195"/>
      <c r="D17" s="31"/>
      <c r="E17" s="197"/>
      <c r="F17" s="199"/>
      <c r="G17" s="171"/>
      <c r="H17" s="32" t="s">
        <v>92</v>
      </c>
      <c r="I17" s="32" t="s">
        <v>93</v>
      </c>
      <c r="J17" s="32" t="s">
        <v>92</v>
      </c>
      <c r="K17" s="32" t="s">
        <v>94</v>
      </c>
      <c r="L17" s="32" t="s">
        <v>70</v>
      </c>
      <c r="M17" s="32" t="s">
        <v>71</v>
      </c>
      <c r="N17" s="32" t="s">
        <v>72</v>
      </c>
      <c r="O17" s="200"/>
      <c r="P17" s="176"/>
      <c r="Q17" s="200"/>
      <c r="R17" s="171"/>
      <c r="S17" s="171"/>
      <c r="T17" s="208"/>
      <c r="U17" s="32" t="s">
        <v>95</v>
      </c>
      <c r="V17" s="33" t="s">
        <v>96</v>
      </c>
      <c r="W17" s="33" t="s">
        <v>97</v>
      </c>
      <c r="X17" s="32" t="s">
        <v>98</v>
      </c>
      <c r="Y17" s="33" t="s">
        <v>99</v>
      </c>
      <c r="Z17" s="33" t="s">
        <v>100</v>
      </c>
      <c r="AA17" s="178"/>
      <c r="AB17" s="180"/>
      <c r="AC17" s="176"/>
      <c r="AD17" s="176"/>
      <c r="AE17" s="32" t="s">
        <v>70</v>
      </c>
      <c r="AF17" s="32" t="s">
        <v>71</v>
      </c>
      <c r="AG17" s="32" t="s">
        <v>72</v>
      </c>
      <c r="AH17" s="170"/>
      <c r="AI17" s="170"/>
      <c r="AJ17" s="171"/>
    </row>
    <row r="18" spans="1:36" ht="13.5" hidden="1" customHeight="1" thickBot="1">
      <c r="A18" s="43" t="s">
        <v>101</v>
      </c>
      <c r="B18" s="43" t="s">
        <v>102</v>
      </c>
      <c r="C18" s="43" t="s">
        <v>103</v>
      </c>
      <c r="D18" s="43" t="s">
        <v>104</v>
      </c>
      <c r="E18" s="44" t="s">
        <v>105</v>
      </c>
      <c r="F18" s="44" t="s">
        <v>106</v>
      </c>
      <c r="G18" s="44" t="s">
        <v>107</v>
      </c>
      <c r="H18" s="44" t="s">
        <v>108</v>
      </c>
      <c r="I18" s="45" t="s">
        <v>109</v>
      </c>
      <c r="J18" s="35" t="s">
        <v>110</v>
      </c>
      <c r="K18" s="36" t="s">
        <v>111</v>
      </c>
      <c r="L18" s="34" t="s">
        <v>112</v>
      </c>
      <c r="M18" s="34" t="s">
        <v>113</v>
      </c>
      <c r="N18" s="34" t="s">
        <v>114</v>
      </c>
      <c r="O18" s="36" t="s">
        <v>115</v>
      </c>
      <c r="P18" s="36" t="s">
        <v>116</v>
      </c>
      <c r="Q18" s="36" t="s">
        <v>117</v>
      </c>
      <c r="R18" s="36" t="s">
        <v>118</v>
      </c>
      <c r="S18" s="37" t="s">
        <v>119</v>
      </c>
      <c r="T18" s="36" t="s">
        <v>120</v>
      </c>
      <c r="U18" s="142" t="s">
        <v>121</v>
      </c>
      <c r="V18" s="50" t="s">
        <v>122</v>
      </c>
      <c r="W18" s="139" t="s">
        <v>123</v>
      </c>
      <c r="X18" s="138" t="s">
        <v>124</v>
      </c>
      <c r="Y18" s="136" t="s">
        <v>125</v>
      </c>
      <c r="Z18" s="139" t="s">
        <v>126</v>
      </c>
      <c r="AA18" s="38" t="s">
        <v>127</v>
      </c>
      <c r="AB18" s="84" t="s">
        <v>128</v>
      </c>
      <c r="AC18" s="39" t="s">
        <v>129</v>
      </c>
      <c r="AD18" s="82" t="s">
        <v>130</v>
      </c>
      <c r="AE18" s="36" t="s">
        <v>131</v>
      </c>
      <c r="AF18" s="36" t="s">
        <v>132</v>
      </c>
      <c r="AG18" s="36" t="s">
        <v>133</v>
      </c>
      <c r="AH18" s="86"/>
      <c r="AI18" s="87"/>
      <c r="AJ18" s="88"/>
    </row>
    <row r="19" spans="1:36" customFormat="1">
      <c r="A19" s="52" t="s">
        <v>134</v>
      </c>
      <c r="B19" s="52"/>
      <c r="C19" s="52"/>
      <c r="D19" s="52"/>
      <c r="E19" s="53"/>
      <c r="F19" s="53"/>
      <c r="G19" s="53" t="s">
        <v>137</v>
      </c>
      <c r="H19" s="53"/>
      <c r="I19" s="54"/>
      <c r="J19" s="55">
        <f t="shared" ref="J19:J77" si="0">I19*K19</f>
        <v>0</v>
      </c>
      <c r="K19" s="56">
        <v>0.92</v>
      </c>
      <c r="L19" s="57">
        <f t="shared" ref="L19:L77" si="1">IF(A19="",0,$I19/COUNTA(A19:C19))</f>
        <v>0</v>
      </c>
      <c r="M19" s="57">
        <f t="shared" ref="M19:M77" si="2">IF(B19="",0,$I19/COUNTA(A19:C19))</f>
        <v>0</v>
      </c>
      <c r="N19" s="57">
        <f t="shared" ref="N19:N77" si="3">IF(C19="",0,$I19/COUNTA(A19:C19))</f>
        <v>0</v>
      </c>
      <c r="O19" s="56"/>
      <c r="P19" s="56" t="s">
        <v>138</v>
      </c>
      <c r="Q19" s="56" t="e">
        <f>IF(R19="PVC",VLOOKUP(O19,Dados!C$3:D$19,2),IF(R19="EPR",VLOOKUP(O19,Dados!C$22:D$38,2)))</f>
        <v>#N/A</v>
      </c>
      <c r="R19" s="56" t="s">
        <v>139</v>
      </c>
      <c r="S19" s="51">
        <f>IF(G19="F+N",I19/H$4,IF(G19="2F",I19/G$4, IF(G19="3F",I19/G$4/SQRT(3))))</f>
        <v>0</v>
      </c>
      <c r="T19" s="56" t="e">
        <f>IF(R19="PVC",VLOOKUP(Q19,Dados!L$3:M$18,2),IF(R19="EPR",VLOOKUP(Q19,Dados!L$3:N$18,3)))</f>
        <v>#N/A</v>
      </c>
      <c r="U19" s="143" t="s">
        <v>140</v>
      </c>
      <c r="V19" s="58"/>
      <c r="W19" s="144"/>
      <c r="X19" s="140"/>
      <c r="Y19" s="137"/>
      <c r="Z19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19" s="85"/>
      <c r="AB19" s="101" t="e">
        <f t="shared" ref="AB19:AB77" si="4">S19*AA19*AI19/AH19/AJ19/1000</f>
        <v>#N/A</v>
      </c>
      <c r="AC19" s="60">
        <v>1</v>
      </c>
      <c r="AD19" s="51">
        <f t="shared" ref="AD19:AD77" si="5">IF(G19="F+N",I19/H$4,IF(G19="2F",I19/G$4, IF(G19="3F",I19/G$4/SQRT(3))))*AC19</f>
        <v>0</v>
      </c>
      <c r="AE19" s="56">
        <f t="shared" ref="AE19:AE77" si="6">IF(A19="",0,$I19/COUNTA(A19:C19)*$AC19)</f>
        <v>0</v>
      </c>
      <c r="AF19" s="56">
        <f t="shared" ref="AF19:AF77" si="7">IF(B19="",0,$I19/COUNTA(A19:C19)*$AC19)</f>
        <v>0</v>
      </c>
      <c r="AG19" s="56">
        <f t="shared" ref="AG19:AG77" si="8">IF(C19="",0,$I19/COUNTA(A19:C19)*$AC19)</f>
        <v>0</v>
      </c>
      <c r="AH19" s="89">
        <f t="shared" ref="AH19:AH77" si="9">IF(G19="3F",$G$4,IF(G19="2F",$G$4,IF(G19="F+N",$H$4)))</f>
        <v>219.39310229205779</v>
      </c>
      <c r="AI19" s="90" t="e">
        <f>VLOOKUP(Q19,Dados!$T$4:$U$19,2,FALSE)</f>
        <v>#N/A</v>
      </c>
      <c r="AJ19" s="91">
        <v>1</v>
      </c>
    </row>
    <row r="20" spans="1:36" customFormat="1">
      <c r="A20" s="61"/>
      <c r="B20" s="52" t="s">
        <v>134</v>
      </c>
      <c r="C20" s="52"/>
      <c r="D20" s="52"/>
      <c r="E20" s="53"/>
      <c r="F20" s="53"/>
      <c r="G20" s="53" t="s">
        <v>137</v>
      </c>
      <c r="H20" s="53"/>
      <c r="I20" s="54"/>
      <c r="J20" s="55">
        <f t="shared" si="0"/>
        <v>0</v>
      </c>
      <c r="K20" s="56">
        <v>0.92</v>
      </c>
      <c r="L20" s="57">
        <f t="shared" si="1"/>
        <v>0</v>
      </c>
      <c r="M20" s="57">
        <f t="shared" si="2"/>
        <v>0</v>
      </c>
      <c r="N20" s="57">
        <f t="shared" si="3"/>
        <v>0</v>
      </c>
      <c r="O20" s="56"/>
      <c r="P20" s="56" t="s">
        <v>138</v>
      </c>
      <c r="Q20" s="56" t="e">
        <f>IF(R20="PVC",VLOOKUP(O20,Dados!C$3:D$19,2),IF(R20="EPR",VLOOKUP(O20,Dados!C$22:D$38,2)))</f>
        <v>#N/A</v>
      </c>
      <c r="R20" s="56" t="s">
        <v>139</v>
      </c>
      <c r="S20" s="51">
        <f t="shared" ref="S20:S77" si="10">IF(G20="F+N",I20/H$4,IF(G20="2F",I20/G$4, IF(G20="3F",I20/G$4/SQRT(3))))</f>
        <v>0</v>
      </c>
      <c r="T20" s="56" t="e">
        <f>IF(R20="PVC",VLOOKUP(Q20,Dados!L$3:M$18,2),IF(R20="EPR",VLOOKUP(Q20,Dados!L$3:N$18,3)))</f>
        <v>#N/A</v>
      </c>
      <c r="U20" s="143" t="s">
        <v>140</v>
      </c>
      <c r="V20" s="62"/>
      <c r="W20" s="145"/>
      <c r="X20" s="140"/>
      <c r="Y20" s="137"/>
      <c r="Z20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0" s="63"/>
      <c r="AB20" s="101" t="e">
        <f t="shared" si="4"/>
        <v>#N/A</v>
      </c>
      <c r="AC20" s="60">
        <v>1</v>
      </c>
      <c r="AD20" s="51">
        <f t="shared" si="5"/>
        <v>0</v>
      </c>
      <c r="AE20" s="56">
        <f t="shared" si="6"/>
        <v>0</v>
      </c>
      <c r="AF20" s="56">
        <f t="shared" si="7"/>
        <v>0</v>
      </c>
      <c r="AG20" s="56">
        <f t="shared" si="8"/>
        <v>0</v>
      </c>
      <c r="AH20" s="89">
        <f t="shared" si="9"/>
        <v>219.39310229205779</v>
      </c>
      <c r="AI20" s="90" t="e">
        <f>VLOOKUP(Q20,Dados!$T$4:$U$19,2,FALSE)</f>
        <v>#N/A</v>
      </c>
      <c r="AJ20" s="91">
        <v>1</v>
      </c>
    </row>
    <row r="21" spans="1:36" customFormat="1">
      <c r="A21" s="52"/>
      <c r="B21" s="52"/>
      <c r="C21" s="52" t="s">
        <v>134</v>
      </c>
      <c r="D21" s="52"/>
      <c r="E21" s="53"/>
      <c r="F21" s="53"/>
      <c r="G21" s="53" t="s">
        <v>137</v>
      </c>
      <c r="H21" s="53"/>
      <c r="I21" s="54"/>
      <c r="J21" s="55">
        <f t="shared" si="0"/>
        <v>0</v>
      </c>
      <c r="K21" s="56">
        <v>0.92</v>
      </c>
      <c r="L21" s="57">
        <f t="shared" si="1"/>
        <v>0</v>
      </c>
      <c r="M21" s="57">
        <f t="shared" si="2"/>
        <v>0</v>
      </c>
      <c r="N21" s="57">
        <f t="shared" si="3"/>
        <v>0</v>
      </c>
      <c r="O21" s="56"/>
      <c r="P21" s="56" t="s">
        <v>138</v>
      </c>
      <c r="Q21" s="56" t="e">
        <f>IF(R21="PVC",VLOOKUP(O21,Dados!C$3:D$19,2),IF(R21="EPR",VLOOKUP(O21,Dados!C$22:D$38,2)))</f>
        <v>#N/A</v>
      </c>
      <c r="R21" s="56" t="s">
        <v>139</v>
      </c>
      <c r="S21" s="51">
        <f t="shared" si="10"/>
        <v>0</v>
      </c>
      <c r="T21" s="56" t="e">
        <f>IF(R21="PVC",VLOOKUP(Q21,Dados!L$3:M$18,2),IF(R21="EPR",VLOOKUP(Q21,Dados!L$3:N$18,3)))</f>
        <v>#N/A</v>
      </c>
      <c r="U21" s="143" t="s">
        <v>140</v>
      </c>
      <c r="V21" s="62"/>
      <c r="W21" s="145"/>
      <c r="X21" s="140"/>
      <c r="Y21" s="137"/>
      <c r="Z21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1" s="63"/>
      <c r="AB21" s="101" t="e">
        <f t="shared" si="4"/>
        <v>#N/A</v>
      </c>
      <c r="AC21" s="60">
        <v>1</v>
      </c>
      <c r="AD21" s="51">
        <f t="shared" si="5"/>
        <v>0</v>
      </c>
      <c r="AE21" s="56">
        <f t="shared" si="6"/>
        <v>0</v>
      </c>
      <c r="AF21" s="56">
        <f t="shared" si="7"/>
        <v>0</v>
      </c>
      <c r="AG21" s="56">
        <f t="shared" si="8"/>
        <v>0</v>
      </c>
      <c r="AH21" s="89">
        <f t="shared" si="9"/>
        <v>219.39310229205779</v>
      </c>
      <c r="AI21" s="90" t="e">
        <f>VLOOKUP(Q21,Dados!$T$4:$U$19,2,FALSE)</f>
        <v>#N/A</v>
      </c>
      <c r="AJ21" s="91">
        <v>1</v>
      </c>
    </row>
    <row r="22" spans="1:36" customFormat="1">
      <c r="A22" s="61" t="s">
        <v>134</v>
      </c>
      <c r="B22" s="52"/>
      <c r="C22" s="52"/>
      <c r="D22" s="52"/>
      <c r="E22" s="53"/>
      <c r="F22" s="53"/>
      <c r="G22" s="53" t="s">
        <v>137</v>
      </c>
      <c r="H22" s="53"/>
      <c r="I22" s="54"/>
      <c r="J22" s="55">
        <f t="shared" si="0"/>
        <v>0</v>
      </c>
      <c r="K22" s="56">
        <v>0.92</v>
      </c>
      <c r="L22" s="57">
        <f t="shared" si="1"/>
        <v>0</v>
      </c>
      <c r="M22" s="57">
        <f t="shared" si="2"/>
        <v>0</v>
      </c>
      <c r="N22" s="57">
        <f t="shared" si="3"/>
        <v>0</v>
      </c>
      <c r="O22" s="56"/>
      <c r="P22" s="56" t="s">
        <v>138</v>
      </c>
      <c r="Q22" s="56" t="e">
        <f>IF(R22="PVC",VLOOKUP(O22,Dados!C$3:D$19,2),IF(R22="EPR",VLOOKUP(O22,Dados!C$22:D$38,2)))</f>
        <v>#N/A</v>
      </c>
      <c r="R22" s="56" t="s">
        <v>139</v>
      </c>
      <c r="S22" s="51">
        <f t="shared" si="10"/>
        <v>0</v>
      </c>
      <c r="T22" s="56" t="e">
        <f>IF(R22="PVC",VLOOKUP(Q22,Dados!L$3:M$18,2),IF(R22="EPR",VLOOKUP(Q22,Dados!L$3:N$18,3)))</f>
        <v>#N/A</v>
      </c>
      <c r="U22" s="143" t="s">
        <v>140</v>
      </c>
      <c r="V22" s="62"/>
      <c r="W22" s="145"/>
      <c r="X22" s="140"/>
      <c r="Y22" s="137"/>
      <c r="Z22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2" s="63"/>
      <c r="AB22" s="101" t="e">
        <f t="shared" si="4"/>
        <v>#N/A</v>
      </c>
      <c r="AC22" s="60">
        <v>1</v>
      </c>
      <c r="AD22" s="51">
        <f t="shared" si="5"/>
        <v>0</v>
      </c>
      <c r="AE22" s="56">
        <f t="shared" si="6"/>
        <v>0</v>
      </c>
      <c r="AF22" s="56">
        <f t="shared" si="7"/>
        <v>0</v>
      </c>
      <c r="AG22" s="56">
        <f t="shared" si="8"/>
        <v>0</v>
      </c>
      <c r="AH22" s="89">
        <f t="shared" si="9"/>
        <v>219.39310229205779</v>
      </c>
      <c r="AI22" s="90" t="e">
        <f>VLOOKUP(Q22,Dados!$T$4:$U$19,2,FALSE)</f>
        <v>#N/A</v>
      </c>
      <c r="AJ22" s="91">
        <v>1</v>
      </c>
    </row>
    <row r="23" spans="1:36" customFormat="1">
      <c r="A23" s="52"/>
      <c r="B23" s="52" t="s">
        <v>134</v>
      </c>
      <c r="C23" s="52"/>
      <c r="D23" s="52"/>
      <c r="E23" s="53"/>
      <c r="F23" s="53"/>
      <c r="G23" s="53" t="s">
        <v>137</v>
      </c>
      <c r="H23" s="53"/>
      <c r="I23" s="54"/>
      <c r="J23" s="55">
        <f t="shared" si="0"/>
        <v>0</v>
      </c>
      <c r="K23" s="56">
        <v>0.92</v>
      </c>
      <c r="L23" s="57">
        <f t="shared" si="1"/>
        <v>0</v>
      </c>
      <c r="M23" s="57">
        <f t="shared" si="2"/>
        <v>0</v>
      </c>
      <c r="N23" s="57">
        <f t="shared" si="3"/>
        <v>0</v>
      </c>
      <c r="O23" s="56"/>
      <c r="P23" s="56" t="s">
        <v>138</v>
      </c>
      <c r="Q23" s="56" t="e">
        <f>IF(R23="PVC",VLOOKUP(O23,Dados!C$3:D$19,2),IF(R23="EPR",VLOOKUP(O23,Dados!C$22:D$38,2)))</f>
        <v>#N/A</v>
      </c>
      <c r="R23" s="56" t="s">
        <v>139</v>
      </c>
      <c r="S23" s="51">
        <f t="shared" si="10"/>
        <v>0</v>
      </c>
      <c r="T23" s="56" t="e">
        <f>IF(R23="PVC",VLOOKUP(Q23,Dados!L$3:M$18,2),IF(R23="EPR",VLOOKUP(Q23,Dados!L$3:N$18,3)))</f>
        <v>#N/A</v>
      </c>
      <c r="U23" s="143" t="s">
        <v>140</v>
      </c>
      <c r="V23" s="62"/>
      <c r="W23" s="145"/>
      <c r="X23" s="140"/>
      <c r="Y23" s="137"/>
      <c r="Z23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3" s="63"/>
      <c r="AB23" s="101" t="e">
        <f t="shared" si="4"/>
        <v>#N/A</v>
      </c>
      <c r="AC23" s="60">
        <v>1</v>
      </c>
      <c r="AD23" s="51">
        <f t="shared" si="5"/>
        <v>0</v>
      </c>
      <c r="AE23" s="56">
        <f t="shared" si="6"/>
        <v>0</v>
      </c>
      <c r="AF23" s="56">
        <f t="shared" si="7"/>
        <v>0</v>
      </c>
      <c r="AG23" s="56">
        <f t="shared" si="8"/>
        <v>0</v>
      </c>
      <c r="AH23" s="89">
        <f t="shared" si="9"/>
        <v>219.39310229205779</v>
      </c>
      <c r="AI23" s="90" t="e">
        <f>VLOOKUP(Q23,Dados!$T$4:$U$19,2,FALSE)</f>
        <v>#N/A</v>
      </c>
      <c r="AJ23" s="91">
        <v>1</v>
      </c>
    </row>
    <row r="24" spans="1:36" customFormat="1">
      <c r="A24" s="52"/>
      <c r="B24" s="52"/>
      <c r="C24" s="52" t="s">
        <v>134</v>
      </c>
      <c r="D24" s="52"/>
      <c r="E24" s="53"/>
      <c r="F24" s="53"/>
      <c r="G24" s="53" t="s">
        <v>137</v>
      </c>
      <c r="H24" s="53"/>
      <c r="I24" s="54"/>
      <c r="J24" s="55">
        <f t="shared" si="0"/>
        <v>0</v>
      </c>
      <c r="K24" s="56">
        <v>0.92</v>
      </c>
      <c r="L24" s="57">
        <f t="shared" si="1"/>
        <v>0</v>
      </c>
      <c r="M24" s="57">
        <f t="shared" si="2"/>
        <v>0</v>
      </c>
      <c r="N24" s="57">
        <f t="shared" si="3"/>
        <v>0</v>
      </c>
      <c r="O24" s="56"/>
      <c r="P24" s="56" t="s">
        <v>138</v>
      </c>
      <c r="Q24" s="56" t="e">
        <f>IF(R24="PVC",VLOOKUP(O24,Dados!C$3:D$19,2),IF(R24="EPR",VLOOKUP(O24,Dados!C$22:D$38,2)))</f>
        <v>#N/A</v>
      </c>
      <c r="R24" s="56" t="s">
        <v>139</v>
      </c>
      <c r="S24" s="51">
        <f t="shared" si="10"/>
        <v>0</v>
      </c>
      <c r="T24" s="56" t="e">
        <f>IF(R24="PVC",VLOOKUP(Q24,Dados!L$3:M$18,2),IF(R24="EPR",VLOOKUP(Q24,Dados!L$3:N$18,3)))</f>
        <v>#N/A</v>
      </c>
      <c r="U24" s="143" t="s">
        <v>140</v>
      </c>
      <c r="V24" s="62"/>
      <c r="W24" s="145"/>
      <c r="X24" s="140"/>
      <c r="Y24" s="137"/>
      <c r="Z24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4" s="63"/>
      <c r="AB24" s="101" t="e">
        <f t="shared" si="4"/>
        <v>#N/A</v>
      </c>
      <c r="AC24" s="60">
        <v>1</v>
      </c>
      <c r="AD24" s="51">
        <f t="shared" si="5"/>
        <v>0</v>
      </c>
      <c r="AE24" s="56">
        <f t="shared" si="6"/>
        <v>0</v>
      </c>
      <c r="AF24" s="56">
        <f t="shared" si="7"/>
        <v>0</v>
      </c>
      <c r="AG24" s="56">
        <f t="shared" si="8"/>
        <v>0</v>
      </c>
      <c r="AH24" s="89">
        <f t="shared" si="9"/>
        <v>219.39310229205779</v>
      </c>
      <c r="AI24" s="90" t="e">
        <f>VLOOKUP(Q24,Dados!$T$4:$U$19,2,FALSE)</f>
        <v>#N/A</v>
      </c>
      <c r="AJ24" s="91">
        <v>1</v>
      </c>
    </row>
    <row r="25" spans="1:36" customFormat="1">
      <c r="A25" s="52" t="s">
        <v>134</v>
      </c>
      <c r="B25" s="52"/>
      <c r="C25" s="52"/>
      <c r="D25" s="52"/>
      <c r="E25" s="53"/>
      <c r="F25" s="53"/>
      <c r="G25" s="53" t="s">
        <v>137</v>
      </c>
      <c r="H25" s="53"/>
      <c r="I25" s="54"/>
      <c r="J25" s="55">
        <f t="shared" si="0"/>
        <v>0</v>
      </c>
      <c r="K25" s="56">
        <v>0.92</v>
      </c>
      <c r="L25" s="57">
        <f t="shared" si="1"/>
        <v>0</v>
      </c>
      <c r="M25" s="57">
        <f t="shared" si="2"/>
        <v>0</v>
      </c>
      <c r="N25" s="57">
        <f t="shared" si="3"/>
        <v>0</v>
      </c>
      <c r="O25" s="56"/>
      <c r="P25" s="56" t="s">
        <v>138</v>
      </c>
      <c r="Q25" s="56" t="e">
        <f>IF(R25="PVC",VLOOKUP(O25,Dados!C$3:D$19,2),IF(R25="EPR",VLOOKUP(O25,Dados!C$22:D$38,2)))</f>
        <v>#N/A</v>
      </c>
      <c r="R25" s="56" t="s">
        <v>139</v>
      </c>
      <c r="S25" s="51">
        <f t="shared" si="10"/>
        <v>0</v>
      </c>
      <c r="T25" s="56" t="e">
        <f>IF(R25="PVC",VLOOKUP(Q25,Dados!L$3:M$18,2),IF(R25="EPR",VLOOKUP(Q25,Dados!L$3:N$18,3)))</f>
        <v>#N/A</v>
      </c>
      <c r="U25" s="143" t="s">
        <v>140</v>
      </c>
      <c r="V25" s="62"/>
      <c r="W25" s="145"/>
      <c r="X25" s="140"/>
      <c r="Y25" s="137"/>
      <c r="Z25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5" s="63"/>
      <c r="AB25" s="101" t="e">
        <f t="shared" si="4"/>
        <v>#N/A</v>
      </c>
      <c r="AC25" s="60">
        <v>1</v>
      </c>
      <c r="AD25" s="51">
        <f t="shared" si="5"/>
        <v>0</v>
      </c>
      <c r="AE25" s="56">
        <f t="shared" si="6"/>
        <v>0</v>
      </c>
      <c r="AF25" s="56">
        <f t="shared" si="7"/>
        <v>0</v>
      </c>
      <c r="AG25" s="56">
        <f t="shared" si="8"/>
        <v>0</v>
      </c>
      <c r="AH25" s="89">
        <f t="shared" si="9"/>
        <v>219.39310229205779</v>
      </c>
      <c r="AI25" s="90" t="e">
        <f>VLOOKUP(Q25,Dados!$T$4:$U$19,2,FALSE)</f>
        <v>#N/A</v>
      </c>
      <c r="AJ25" s="91">
        <v>1</v>
      </c>
    </row>
    <row r="26" spans="1:36" customFormat="1">
      <c r="A26" s="61"/>
      <c r="B26" s="52" t="s">
        <v>134</v>
      </c>
      <c r="C26" s="52"/>
      <c r="D26" s="52"/>
      <c r="E26" s="53"/>
      <c r="F26" s="53"/>
      <c r="G26" s="53" t="s">
        <v>137</v>
      </c>
      <c r="H26" s="53"/>
      <c r="I26" s="54"/>
      <c r="J26" s="55">
        <f t="shared" si="0"/>
        <v>0</v>
      </c>
      <c r="K26" s="56">
        <v>0.92</v>
      </c>
      <c r="L26" s="57">
        <f t="shared" si="1"/>
        <v>0</v>
      </c>
      <c r="M26" s="57">
        <f t="shared" si="2"/>
        <v>0</v>
      </c>
      <c r="N26" s="57">
        <f t="shared" si="3"/>
        <v>0</v>
      </c>
      <c r="O26" s="56"/>
      <c r="P26" s="56" t="s">
        <v>138</v>
      </c>
      <c r="Q26" s="56" t="e">
        <f>IF(R26="PVC",VLOOKUP(O26,Dados!C$3:D$19,2),IF(R26="EPR",VLOOKUP(O26,Dados!C$22:D$38,2)))</f>
        <v>#N/A</v>
      </c>
      <c r="R26" s="56" t="s">
        <v>139</v>
      </c>
      <c r="S26" s="51">
        <f t="shared" si="10"/>
        <v>0</v>
      </c>
      <c r="T26" s="56" t="e">
        <f>IF(R26="PVC",VLOOKUP(Q26,Dados!L$3:M$18,2),IF(R26="EPR",VLOOKUP(Q26,Dados!L$3:N$18,3)))</f>
        <v>#N/A</v>
      </c>
      <c r="U26" s="143" t="s">
        <v>140</v>
      </c>
      <c r="V26" s="62"/>
      <c r="W26" s="145"/>
      <c r="X26" s="140"/>
      <c r="Y26" s="137"/>
      <c r="Z26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6" s="63"/>
      <c r="AB26" s="101" t="e">
        <f t="shared" si="4"/>
        <v>#N/A</v>
      </c>
      <c r="AC26" s="60">
        <v>1</v>
      </c>
      <c r="AD26" s="51">
        <f t="shared" si="5"/>
        <v>0</v>
      </c>
      <c r="AE26" s="56">
        <f t="shared" si="6"/>
        <v>0</v>
      </c>
      <c r="AF26" s="56">
        <f t="shared" si="7"/>
        <v>0</v>
      </c>
      <c r="AG26" s="56">
        <f t="shared" si="8"/>
        <v>0</v>
      </c>
      <c r="AH26" s="89">
        <f t="shared" si="9"/>
        <v>219.39310229205779</v>
      </c>
      <c r="AI26" s="90" t="e">
        <f>VLOOKUP(Q26,Dados!$T$4:$U$19,2,FALSE)</f>
        <v>#N/A</v>
      </c>
      <c r="AJ26" s="91">
        <v>1</v>
      </c>
    </row>
    <row r="27" spans="1:36" customFormat="1">
      <c r="A27" s="52"/>
      <c r="B27" s="52"/>
      <c r="C27" s="52" t="s">
        <v>134</v>
      </c>
      <c r="D27" s="52"/>
      <c r="E27" s="53"/>
      <c r="F27" s="53"/>
      <c r="G27" s="53" t="s">
        <v>137</v>
      </c>
      <c r="H27" s="53"/>
      <c r="I27" s="54"/>
      <c r="J27" s="55">
        <f t="shared" si="0"/>
        <v>0</v>
      </c>
      <c r="K27" s="56">
        <v>0.92</v>
      </c>
      <c r="L27" s="57">
        <f t="shared" si="1"/>
        <v>0</v>
      </c>
      <c r="M27" s="57">
        <f t="shared" si="2"/>
        <v>0</v>
      </c>
      <c r="N27" s="57">
        <f t="shared" si="3"/>
        <v>0</v>
      </c>
      <c r="O27" s="56"/>
      <c r="P27" s="56" t="s">
        <v>138</v>
      </c>
      <c r="Q27" s="56" t="e">
        <f>IF(R27="PVC",VLOOKUP(O27,Dados!C$3:D$19,2),IF(R27="EPR",VLOOKUP(O27,Dados!C$22:D$38,2)))</f>
        <v>#N/A</v>
      </c>
      <c r="R27" s="56" t="s">
        <v>139</v>
      </c>
      <c r="S27" s="51">
        <f t="shared" si="10"/>
        <v>0</v>
      </c>
      <c r="T27" s="56" t="e">
        <f>IF(R27="PVC",VLOOKUP(Q27,Dados!L$3:M$18,2),IF(R27="EPR",VLOOKUP(Q27,Dados!L$3:N$18,3)))</f>
        <v>#N/A</v>
      </c>
      <c r="U27" s="143" t="s">
        <v>140</v>
      </c>
      <c r="V27" s="62"/>
      <c r="W27" s="145"/>
      <c r="X27" s="140"/>
      <c r="Y27" s="137"/>
      <c r="Z27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7" s="63"/>
      <c r="AB27" s="101" t="e">
        <f t="shared" si="4"/>
        <v>#N/A</v>
      </c>
      <c r="AC27" s="60">
        <v>1</v>
      </c>
      <c r="AD27" s="51">
        <f t="shared" si="5"/>
        <v>0</v>
      </c>
      <c r="AE27" s="56">
        <f t="shared" si="6"/>
        <v>0</v>
      </c>
      <c r="AF27" s="56">
        <f t="shared" si="7"/>
        <v>0</v>
      </c>
      <c r="AG27" s="56">
        <f t="shared" si="8"/>
        <v>0</v>
      </c>
      <c r="AH27" s="89">
        <f t="shared" si="9"/>
        <v>219.39310229205779</v>
      </c>
      <c r="AI27" s="90" t="e">
        <f>VLOOKUP(Q27,Dados!$T$4:$U$19,2,FALSE)</f>
        <v>#N/A</v>
      </c>
      <c r="AJ27" s="91">
        <v>1</v>
      </c>
    </row>
    <row r="28" spans="1:36" customFormat="1">
      <c r="A28" s="61" t="s">
        <v>134</v>
      </c>
      <c r="B28" s="52"/>
      <c r="C28" s="52"/>
      <c r="D28" s="52"/>
      <c r="E28" s="53"/>
      <c r="F28" s="53"/>
      <c r="G28" s="53" t="s">
        <v>137</v>
      </c>
      <c r="H28" s="53"/>
      <c r="I28" s="54"/>
      <c r="J28" s="55">
        <f t="shared" si="0"/>
        <v>0</v>
      </c>
      <c r="K28" s="56">
        <v>0.92</v>
      </c>
      <c r="L28" s="57">
        <f t="shared" si="1"/>
        <v>0</v>
      </c>
      <c r="M28" s="57">
        <f t="shared" si="2"/>
        <v>0</v>
      </c>
      <c r="N28" s="57">
        <f t="shared" si="3"/>
        <v>0</v>
      </c>
      <c r="O28" s="56"/>
      <c r="P28" s="56" t="s">
        <v>138</v>
      </c>
      <c r="Q28" s="56" t="e">
        <f>IF(R28="PVC",VLOOKUP(O28,Dados!C$3:D$19,2),IF(R28="EPR",VLOOKUP(O28,Dados!C$22:D$38,2)))</f>
        <v>#N/A</v>
      </c>
      <c r="R28" s="56" t="s">
        <v>139</v>
      </c>
      <c r="S28" s="51">
        <f t="shared" si="10"/>
        <v>0</v>
      </c>
      <c r="T28" s="56" t="e">
        <f>IF(R28="PVC",VLOOKUP(Q28,Dados!L$3:M$18,2),IF(R28="EPR",VLOOKUP(Q28,Dados!L$3:N$18,3)))</f>
        <v>#N/A</v>
      </c>
      <c r="U28" s="143" t="s">
        <v>140</v>
      </c>
      <c r="V28" s="62"/>
      <c r="W28" s="145"/>
      <c r="X28" s="140"/>
      <c r="Y28" s="137"/>
      <c r="Z28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8" s="63"/>
      <c r="AB28" s="101" t="e">
        <f t="shared" si="4"/>
        <v>#N/A</v>
      </c>
      <c r="AC28" s="60">
        <v>1</v>
      </c>
      <c r="AD28" s="51">
        <f t="shared" si="5"/>
        <v>0</v>
      </c>
      <c r="AE28" s="56">
        <f t="shared" si="6"/>
        <v>0</v>
      </c>
      <c r="AF28" s="56">
        <f t="shared" si="7"/>
        <v>0</v>
      </c>
      <c r="AG28" s="56">
        <f t="shared" si="8"/>
        <v>0</v>
      </c>
      <c r="AH28" s="89">
        <f t="shared" si="9"/>
        <v>219.39310229205779</v>
      </c>
      <c r="AI28" s="90" t="e">
        <f>VLOOKUP(Q28,Dados!$T$4:$U$19,2,FALSE)</f>
        <v>#N/A</v>
      </c>
      <c r="AJ28" s="91">
        <v>1</v>
      </c>
    </row>
    <row r="29" spans="1:36" customFormat="1">
      <c r="A29" s="52"/>
      <c r="B29" s="52" t="s">
        <v>134</v>
      </c>
      <c r="C29" s="52"/>
      <c r="D29" s="52"/>
      <c r="E29" s="53"/>
      <c r="F29" s="53"/>
      <c r="G29" s="53" t="s">
        <v>137</v>
      </c>
      <c r="H29" s="53"/>
      <c r="I29" s="54"/>
      <c r="J29" s="55">
        <f t="shared" si="0"/>
        <v>0</v>
      </c>
      <c r="K29" s="56">
        <v>0.92</v>
      </c>
      <c r="L29" s="57">
        <f t="shared" si="1"/>
        <v>0</v>
      </c>
      <c r="M29" s="57">
        <f t="shared" si="2"/>
        <v>0</v>
      </c>
      <c r="N29" s="57">
        <f t="shared" si="3"/>
        <v>0</v>
      </c>
      <c r="O29" s="56"/>
      <c r="P29" s="56" t="s">
        <v>138</v>
      </c>
      <c r="Q29" s="56" t="e">
        <f>IF(R29="PVC",VLOOKUP(O29,Dados!C$3:D$19,2),IF(R29="EPR",VLOOKUP(O29,Dados!C$22:D$38,2)))</f>
        <v>#N/A</v>
      </c>
      <c r="R29" s="56" t="s">
        <v>139</v>
      </c>
      <c r="S29" s="51">
        <f t="shared" si="10"/>
        <v>0</v>
      </c>
      <c r="T29" s="56" t="e">
        <f>IF(R29="PVC",VLOOKUP(Q29,Dados!L$3:M$18,2),IF(R29="EPR",VLOOKUP(Q29,Dados!L$3:N$18,3)))</f>
        <v>#N/A</v>
      </c>
      <c r="U29" s="143" t="s">
        <v>140</v>
      </c>
      <c r="V29" s="62"/>
      <c r="W29" s="145"/>
      <c r="X29" s="140"/>
      <c r="Y29" s="137"/>
      <c r="Z29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29" s="63"/>
      <c r="AB29" s="101" t="e">
        <f t="shared" si="4"/>
        <v>#N/A</v>
      </c>
      <c r="AC29" s="60">
        <v>1</v>
      </c>
      <c r="AD29" s="51">
        <f t="shared" si="5"/>
        <v>0</v>
      </c>
      <c r="AE29" s="56">
        <f t="shared" si="6"/>
        <v>0</v>
      </c>
      <c r="AF29" s="56">
        <f t="shared" si="7"/>
        <v>0</v>
      </c>
      <c r="AG29" s="56">
        <f t="shared" si="8"/>
        <v>0</v>
      </c>
      <c r="AH29" s="89">
        <f t="shared" si="9"/>
        <v>219.39310229205779</v>
      </c>
      <c r="AI29" s="90" t="e">
        <f>VLOOKUP(Q29,Dados!$T$4:$U$19,2,FALSE)</f>
        <v>#N/A</v>
      </c>
      <c r="AJ29" s="91">
        <v>1</v>
      </c>
    </row>
    <row r="30" spans="1:36" customFormat="1">
      <c r="A30" s="52"/>
      <c r="B30" s="52"/>
      <c r="C30" s="52" t="s">
        <v>134</v>
      </c>
      <c r="D30" s="52"/>
      <c r="E30" s="53"/>
      <c r="F30" s="53"/>
      <c r="G30" s="53" t="s">
        <v>137</v>
      </c>
      <c r="H30" s="53"/>
      <c r="I30" s="54"/>
      <c r="J30" s="55">
        <f t="shared" si="0"/>
        <v>0</v>
      </c>
      <c r="K30" s="56">
        <v>0.92</v>
      </c>
      <c r="L30" s="57">
        <f t="shared" si="1"/>
        <v>0</v>
      </c>
      <c r="M30" s="57">
        <f t="shared" si="2"/>
        <v>0</v>
      </c>
      <c r="N30" s="57">
        <f t="shared" si="3"/>
        <v>0</v>
      </c>
      <c r="O30" s="56"/>
      <c r="P30" s="56" t="s">
        <v>138</v>
      </c>
      <c r="Q30" s="56" t="e">
        <f>IF(R30="PVC",VLOOKUP(O30,Dados!C$3:D$19,2),IF(R30="EPR",VLOOKUP(O30,Dados!C$22:D$38,2)))</f>
        <v>#N/A</v>
      </c>
      <c r="R30" s="56" t="s">
        <v>139</v>
      </c>
      <c r="S30" s="51">
        <f t="shared" si="10"/>
        <v>0</v>
      </c>
      <c r="T30" s="56" t="e">
        <f>IF(R30="PVC",VLOOKUP(Q30,Dados!L$3:M$18,2),IF(R30="EPR",VLOOKUP(Q30,Dados!L$3:N$18,3)))</f>
        <v>#N/A</v>
      </c>
      <c r="U30" s="143" t="s">
        <v>140</v>
      </c>
      <c r="V30" s="62"/>
      <c r="W30" s="145"/>
      <c r="X30" s="140"/>
      <c r="Y30" s="137"/>
      <c r="Z30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0" s="63"/>
      <c r="AB30" s="101" t="e">
        <f t="shared" si="4"/>
        <v>#N/A</v>
      </c>
      <c r="AC30" s="60">
        <v>1</v>
      </c>
      <c r="AD30" s="51">
        <f t="shared" si="5"/>
        <v>0</v>
      </c>
      <c r="AE30" s="56">
        <f t="shared" si="6"/>
        <v>0</v>
      </c>
      <c r="AF30" s="56">
        <f t="shared" si="7"/>
        <v>0</v>
      </c>
      <c r="AG30" s="56">
        <f t="shared" si="8"/>
        <v>0</v>
      </c>
      <c r="AH30" s="89">
        <f t="shared" si="9"/>
        <v>219.39310229205779</v>
      </c>
      <c r="AI30" s="90" t="e">
        <f>VLOOKUP(Q30,Dados!$T$4:$U$19,2,FALSE)</f>
        <v>#N/A</v>
      </c>
      <c r="AJ30" s="91">
        <v>1</v>
      </c>
    </row>
    <row r="31" spans="1:36" customFormat="1">
      <c r="A31" s="52" t="s">
        <v>134</v>
      </c>
      <c r="B31" s="52"/>
      <c r="C31" s="52"/>
      <c r="D31" s="52"/>
      <c r="E31" s="53"/>
      <c r="F31" s="53"/>
      <c r="G31" s="53" t="s">
        <v>137</v>
      </c>
      <c r="H31" s="53"/>
      <c r="I31" s="54"/>
      <c r="J31" s="55">
        <f t="shared" si="0"/>
        <v>0</v>
      </c>
      <c r="K31" s="56">
        <v>0.92</v>
      </c>
      <c r="L31" s="57">
        <f t="shared" si="1"/>
        <v>0</v>
      </c>
      <c r="M31" s="57">
        <f t="shared" si="2"/>
        <v>0</v>
      </c>
      <c r="N31" s="57">
        <f t="shared" si="3"/>
        <v>0</v>
      </c>
      <c r="O31" s="56"/>
      <c r="P31" s="56" t="s">
        <v>138</v>
      </c>
      <c r="Q31" s="56" t="e">
        <f>IF(R31="PVC",VLOOKUP(O31,Dados!C$3:D$19,2),IF(R31="EPR",VLOOKUP(O31,Dados!C$22:D$38,2)))</f>
        <v>#N/A</v>
      </c>
      <c r="R31" s="56" t="s">
        <v>139</v>
      </c>
      <c r="S31" s="51">
        <f t="shared" si="10"/>
        <v>0</v>
      </c>
      <c r="T31" s="56" t="e">
        <f>IF(R31="PVC",VLOOKUP(Q31,Dados!L$3:M$18,2),IF(R31="EPR",VLOOKUP(Q31,Dados!L$3:N$18,3)))</f>
        <v>#N/A</v>
      </c>
      <c r="U31" s="143" t="s">
        <v>140</v>
      </c>
      <c r="V31" s="62"/>
      <c r="W31" s="145"/>
      <c r="X31" s="140"/>
      <c r="Y31" s="137"/>
      <c r="Z31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1" s="63"/>
      <c r="AB31" s="101" t="e">
        <f t="shared" si="4"/>
        <v>#N/A</v>
      </c>
      <c r="AC31" s="60">
        <v>1</v>
      </c>
      <c r="AD31" s="51">
        <f t="shared" si="5"/>
        <v>0</v>
      </c>
      <c r="AE31" s="56">
        <f t="shared" si="6"/>
        <v>0</v>
      </c>
      <c r="AF31" s="56">
        <f t="shared" si="7"/>
        <v>0</v>
      </c>
      <c r="AG31" s="56">
        <f t="shared" si="8"/>
        <v>0</v>
      </c>
      <c r="AH31" s="89">
        <f t="shared" si="9"/>
        <v>219.39310229205779</v>
      </c>
      <c r="AI31" s="90" t="e">
        <f>VLOOKUP(Q31,Dados!$T$4:$U$19,2,FALSE)</f>
        <v>#N/A</v>
      </c>
      <c r="AJ31" s="91">
        <v>1</v>
      </c>
    </row>
    <row r="32" spans="1:36" customFormat="1">
      <c r="A32" s="61"/>
      <c r="B32" s="52" t="s">
        <v>134</v>
      </c>
      <c r="C32" s="52"/>
      <c r="D32" s="52"/>
      <c r="E32" s="53"/>
      <c r="F32" s="53"/>
      <c r="G32" s="53" t="s">
        <v>137</v>
      </c>
      <c r="H32" s="53"/>
      <c r="I32" s="54"/>
      <c r="J32" s="55">
        <f t="shared" si="0"/>
        <v>0</v>
      </c>
      <c r="K32" s="56">
        <v>0.92</v>
      </c>
      <c r="L32" s="57">
        <f t="shared" si="1"/>
        <v>0</v>
      </c>
      <c r="M32" s="57">
        <f t="shared" si="2"/>
        <v>0</v>
      </c>
      <c r="N32" s="57">
        <f t="shared" si="3"/>
        <v>0</v>
      </c>
      <c r="O32" s="56"/>
      <c r="P32" s="56" t="s">
        <v>138</v>
      </c>
      <c r="Q32" s="56" t="e">
        <f>IF(R32="PVC",VLOOKUP(O32,Dados!C$3:D$19,2),IF(R32="EPR",VLOOKUP(O32,Dados!C$22:D$38,2)))</f>
        <v>#N/A</v>
      </c>
      <c r="R32" s="56" t="s">
        <v>139</v>
      </c>
      <c r="S32" s="51">
        <f t="shared" si="10"/>
        <v>0</v>
      </c>
      <c r="T32" s="56" t="e">
        <f>IF(R32="PVC",VLOOKUP(Q32,Dados!L$3:M$18,2),IF(R32="EPR",VLOOKUP(Q32,Dados!L$3:N$18,3)))</f>
        <v>#N/A</v>
      </c>
      <c r="U32" s="143" t="s">
        <v>140</v>
      </c>
      <c r="V32" s="62"/>
      <c r="W32" s="145"/>
      <c r="X32" s="140"/>
      <c r="Y32" s="137"/>
      <c r="Z32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2" s="63"/>
      <c r="AB32" s="101" t="e">
        <f t="shared" si="4"/>
        <v>#N/A</v>
      </c>
      <c r="AC32" s="60">
        <v>1</v>
      </c>
      <c r="AD32" s="51">
        <f t="shared" si="5"/>
        <v>0</v>
      </c>
      <c r="AE32" s="56">
        <f t="shared" si="6"/>
        <v>0</v>
      </c>
      <c r="AF32" s="56">
        <f t="shared" si="7"/>
        <v>0</v>
      </c>
      <c r="AG32" s="56">
        <f t="shared" si="8"/>
        <v>0</v>
      </c>
      <c r="AH32" s="89">
        <f t="shared" si="9"/>
        <v>219.39310229205779</v>
      </c>
      <c r="AI32" s="90" t="e">
        <f>VLOOKUP(Q32,Dados!$T$4:$U$19,2,FALSE)</f>
        <v>#N/A</v>
      </c>
      <c r="AJ32" s="91">
        <v>1</v>
      </c>
    </row>
    <row r="33" spans="1:36" customFormat="1">
      <c r="A33" s="52"/>
      <c r="B33" s="52"/>
      <c r="C33" s="52" t="s">
        <v>134</v>
      </c>
      <c r="D33" s="52"/>
      <c r="E33" s="53"/>
      <c r="F33" s="53"/>
      <c r="G33" s="53" t="s">
        <v>137</v>
      </c>
      <c r="H33" s="53"/>
      <c r="I33" s="54"/>
      <c r="J33" s="55">
        <f t="shared" si="0"/>
        <v>0</v>
      </c>
      <c r="K33" s="56">
        <v>0.92</v>
      </c>
      <c r="L33" s="57">
        <f t="shared" si="1"/>
        <v>0</v>
      </c>
      <c r="M33" s="57">
        <f t="shared" si="2"/>
        <v>0</v>
      </c>
      <c r="N33" s="57">
        <f t="shared" si="3"/>
        <v>0</v>
      </c>
      <c r="O33" s="56"/>
      <c r="P33" s="56" t="s">
        <v>138</v>
      </c>
      <c r="Q33" s="56" t="e">
        <f>IF(R33="PVC",VLOOKUP(O33,Dados!C$3:D$19,2),IF(R33="EPR",VLOOKUP(O33,Dados!C$22:D$38,2)))</f>
        <v>#N/A</v>
      </c>
      <c r="R33" s="56" t="s">
        <v>139</v>
      </c>
      <c r="S33" s="51">
        <f t="shared" si="10"/>
        <v>0</v>
      </c>
      <c r="T33" s="56" t="e">
        <f>IF(R33="PVC",VLOOKUP(Q33,Dados!L$3:M$18,2),IF(R33="EPR",VLOOKUP(Q33,Dados!L$3:N$18,3)))</f>
        <v>#N/A</v>
      </c>
      <c r="U33" s="143" t="s">
        <v>140</v>
      </c>
      <c r="V33" s="62"/>
      <c r="W33" s="145"/>
      <c r="X33" s="140"/>
      <c r="Y33" s="137"/>
      <c r="Z33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3" s="63"/>
      <c r="AB33" s="101" t="e">
        <f t="shared" si="4"/>
        <v>#N/A</v>
      </c>
      <c r="AC33" s="60">
        <v>1</v>
      </c>
      <c r="AD33" s="51">
        <f t="shared" si="5"/>
        <v>0</v>
      </c>
      <c r="AE33" s="56">
        <f t="shared" si="6"/>
        <v>0</v>
      </c>
      <c r="AF33" s="56">
        <f t="shared" si="7"/>
        <v>0</v>
      </c>
      <c r="AG33" s="56">
        <f t="shared" si="8"/>
        <v>0</v>
      </c>
      <c r="AH33" s="89">
        <f t="shared" si="9"/>
        <v>219.39310229205779</v>
      </c>
      <c r="AI33" s="90" t="e">
        <f>VLOOKUP(Q33,Dados!$T$4:$U$19,2,FALSE)</f>
        <v>#N/A</v>
      </c>
      <c r="AJ33" s="91">
        <v>1</v>
      </c>
    </row>
    <row r="34" spans="1:36" customFormat="1">
      <c r="A34" s="61" t="s">
        <v>134</v>
      </c>
      <c r="B34" s="52"/>
      <c r="C34" s="52"/>
      <c r="D34" s="52"/>
      <c r="E34" s="53"/>
      <c r="F34" s="53"/>
      <c r="G34" s="53" t="s">
        <v>137</v>
      </c>
      <c r="H34" s="53"/>
      <c r="I34" s="54"/>
      <c r="J34" s="55">
        <f t="shared" si="0"/>
        <v>0</v>
      </c>
      <c r="K34" s="56">
        <v>0.92</v>
      </c>
      <c r="L34" s="57">
        <f t="shared" si="1"/>
        <v>0</v>
      </c>
      <c r="M34" s="57">
        <f t="shared" si="2"/>
        <v>0</v>
      </c>
      <c r="N34" s="57">
        <f t="shared" si="3"/>
        <v>0</v>
      </c>
      <c r="O34" s="56"/>
      <c r="P34" s="56" t="s">
        <v>138</v>
      </c>
      <c r="Q34" s="56" t="e">
        <f>IF(R34="PVC",VLOOKUP(O34,Dados!C$3:D$19,2),IF(R34="EPR",VLOOKUP(O34,Dados!C$22:D$38,2)))</f>
        <v>#N/A</v>
      </c>
      <c r="R34" s="56" t="s">
        <v>139</v>
      </c>
      <c r="S34" s="51">
        <f t="shared" si="10"/>
        <v>0</v>
      </c>
      <c r="T34" s="56" t="e">
        <f>IF(R34="PVC",VLOOKUP(Q34,Dados!L$3:M$18,2),IF(R34="EPR",VLOOKUP(Q34,Dados!L$3:N$18,3)))</f>
        <v>#N/A</v>
      </c>
      <c r="U34" s="143" t="s">
        <v>140</v>
      </c>
      <c r="V34" s="62"/>
      <c r="W34" s="145"/>
      <c r="X34" s="140"/>
      <c r="Y34" s="137"/>
      <c r="Z34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4" s="63"/>
      <c r="AB34" s="101" t="e">
        <f t="shared" si="4"/>
        <v>#N/A</v>
      </c>
      <c r="AC34" s="60">
        <v>1</v>
      </c>
      <c r="AD34" s="51">
        <f t="shared" si="5"/>
        <v>0</v>
      </c>
      <c r="AE34" s="56">
        <f t="shared" si="6"/>
        <v>0</v>
      </c>
      <c r="AF34" s="56">
        <f t="shared" si="7"/>
        <v>0</v>
      </c>
      <c r="AG34" s="56">
        <f t="shared" si="8"/>
        <v>0</v>
      </c>
      <c r="AH34" s="89">
        <f t="shared" si="9"/>
        <v>219.39310229205779</v>
      </c>
      <c r="AI34" s="90" t="e">
        <f>VLOOKUP(Q34,Dados!$T$4:$U$19,2,FALSE)</f>
        <v>#N/A</v>
      </c>
      <c r="AJ34" s="91">
        <v>1</v>
      </c>
    </row>
    <row r="35" spans="1:36" customFormat="1">
      <c r="A35" s="52"/>
      <c r="B35" s="52" t="s">
        <v>134</v>
      </c>
      <c r="C35" s="52"/>
      <c r="D35" s="52"/>
      <c r="E35" s="53"/>
      <c r="F35" s="53"/>
      <c r="G35" s="53" t="s">
        <v>137</v>
      </c>
      <c r="H35" s="53"/>
      <c r="I35" s="54"/>
      <c r="J35" s="55">
        <f t="shared" si="0"/>
        <v>0</v>
      </c>
      <c r="K35" s="56">
        <v>0.92</v>
      </c>
      <c r="L35" s="57">
        <f t="shared" si="1"/>
        <v>0</v>
      </c>
      <c r="M35" s="57">
        <f t="shared" si="2"/>
        <v>0</v>
      </c>
      <c r="N35" s="57">
        <f t="shared" si="3"/>
        <v>0</v>
      </c>
      <c r="O35" s="56"/>
      <c r="P35" s="56" t="s">
        <v>138</v>
      </c>
      <c r="Q35" s="56" t="e">
        <f>IF(R35="PVC",VLOOKUP(O35,Dados!C$3:D$19,2),IF(R35="EPR",VLOOKUP(O35,Dados!C$22:D$38,2)))</f>
        <v>#N/A</v>
      </c>
      <c r="R35" s="56" t="s">
        <v>139</v>
      </c>
      <c r="S35" s="51">
        <f t="shared" si="10"/>
        <v>0</v>
      </c>
      <c r="T35" s="56" t="e">
        <f>IF(R35="PVC",VLOOKUP(Q35,Dados!L$3:M$18,2),IF(R35="EPR",VLOOKUP(Q35,Dados!L$3:N$18,3)))</f>
        <v>#N/A</v>
      </c>
      <c r="U35" s="143" t="s">
        <v>140</v>
      </c>
      <c r="V35" s="62"/>
      <c r="W35" s="145"/>
      <c r="X35" s="140"/>
      <c r="Y35" s="137"/>
      <c r="Z35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5" s="63"/>
      <c r="AB35" s="101" t="e">
        <f t="shared" si="4"/>
        <v>#N/A</v>
      </c>
      <c r="AC35" s="60">
        <v>1</v>
      </c>
      <c r="AD35" s="51">
        <f t="shared" si="5"/>
        <v>0</v>
      </c>
      <c r="AE35" s="56">
        <f t="shared" si="6"/>
        <v>0</v>
      </c>
      <c r="AF35" s="56">
        <f t="shared" si="7"/>
        <v>0</v>
      </c>
      <c r="AG35" s="56">
        <f t="shared" si="8"/>
        <v>0</v>
      </c>
      <c r="AH35" s="89">
        <f t="shared" si="9"/>
        <v>219.39310229205779</v>
      </c>
      <c r="AI35" s="90" t="e">
        <f>VLOOKUP(Q35,Dados!$T$4:$U$19,2,FALSE)</f>
        <v>#N/A</v>
      </c>
      <c r="AJ35" s="91">
        <v>1</v>
      </c>
    </row>
    <row r="36" spans="1:36" customFormat="1">
      <c r="A36" s="52"/>
      <c r="B36" s="52"/>
      <c r="C36" s="52" t="s">
        <v>134</v>
      </c>
      <c r="D36" s="52"/>
      <c r="E36" s="53"/>
      <c r="F36" s="53"/>
      <c r="G36" s="53" t="s">
        <v>137</v>
      </c>
      <c r="H36" s="53"/>
      <c r="I36" s="54"/>
      <c r="J36" s="55">
        <f t="shared" si="0"/>
        <v>0</v>
      </c>
      <c r="K36" s="56">
        <v>0.92</v>
      </c>
      <c r="L36" s="57">
        <f t="shared" si="1"/>
        <v>0</v>
      </c>
      <c r="M36" s="57">
        <f t="shared" si="2"/>
        <v>0</v>
      </c>
      <c r="N36" s="57">
        <f t="shared" si="3"/>
        <v>0</v>
      </c>
      <c r="O36" s="56"/>
      <c r="P36" s="56" t="s">
        <v>138</v>
      </c>
      <c r="Q36" s="56" t="e">
        <f>IF(R36="PVC",VLOOKUP(O36,Dados!C$3:D$19,2),IF(R36="EPR",VLOOKUP(O36,Dados!C$22:D$38,2)))</f>
        <v>#N/A</v>
      </c>
      <c r="R36" s="56" t="s">
        <v>139</v>
      </c>
      <c r="S36" s="51">
        <f t="shared" si="10"/>
        <v>0</v>
      </c>
      <c r="T36" s="56" t="e">
        <f>IF(R36="PVC",VLOOKUP(Q36,Dados!L$3:M$18,2),IF(R36="EPR",VLOOKUP(Q36,Dados!L$3:N$18,3)))</f>
        <v>#N/A</v>
      </c>
      <c r="U36" s="143" t="s">
        <v>140</v>
      </c>
      <c r="V36" s="62"/>
      <c r="W36" s="145"/>
      <c r="X36" s="140"/>
      <c r="Y36" s="137"/>
      <c r="Z36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6" s="63"/>
      <c r="AB36" s="101" t="e">
        <f t="shared" si="4"/>
        <v>#N/A</v>
      </c>
      <c r="AC36" s="60">
        <v>1</v>
      </c>
      <c r="AD36" s="51">
        <f t="shared" si="5"/>
        <v>0</v>
      </c>
      <c r="AE36" s="56">
        <f t="shared" si="6"/>
        <v>0</v>
      </c>
      <c r="AF36" s="56">
        <f t="shared" si="7"/>
        <v>0</v>
      </c>
      <c r="AG36" s="56">
        <f t="shared" si="8"/>
        <v>0</v>
      </c>
      <c r="AH36" s="89">
        <f t="shared" si="9"/>
        <v>219.39310229205779</v>
      </c>
      <c r="AI36" s="90" t="e">
        <f>VLOOKUP(Q36,Dados!$T$4:$U$19,2,FALSE)</f>
        <v>#N/A</v>
      </c>
      <c r="AJ36" s="91">
        <v>1</v>
      </c>
    </row>
    <row r="37" spans="1:36" customFormat="1">
      <c r="A37" s="52" t="s">
        <v>134</v>
      </c>
      <c r="B37" s="52"/>
      <c r="C37" s="52"/>
      <c r="D37" s="52"/>
      <c r="E37" s="53"/>
      <c r="F37" s="53"/>
      <c r="G37" s="53" t="s">
        <v>137</v>
      </c>
      <c r="H37" s="53"/>
      <c r="I37" s="54"/>
      <c r="J37" s="55">
        <f t="shared" si="0"/>
        <v>0</v>
      </c>
      <c r="K37" s="56">
        <v>0.92</v>
      </c>
      <c r="L37" s="57">
        <f t="shared" si="1"/>
        <v>0</v>
      </c>
      <c r="M37" s="57">
        <f t="shared" si="2"/>
        <v>0</v>
      </c>
      <c r="N37" s="57">
        <f t="shared" si="3"/>
        <v>0</v>
      </c>
      <c r="O37" s="56"/>
      <c r="P37" s="56" t="s">
        <v>138</v>
      </c>
      <c r="Q37" s="56" t="e">
        <f>IF(R37="PVC",VLOOKUP(O37,Dados!C$3:D$19,2),IF(R37="EPR",VLOOKUP(O37,Dados!C$22:D$38,2)))</f>
        <v>#N/A</v>
      </c>
      <c r="R37" s="56" t="s">
        <v>139</v>
      </c>
      <c r="S37" s="51">
        <f t="shared" si="10"/>
        <v>0</v>
      </c>
      <c r="T37" s="56" t="e">
        <f>IF(R37="PVC",VLOOKUP(Q37,Dados!L$3:M$18,2),IF(R37="EPR",VLOOKUP(Q37,Dados!L$3:N$18,3)))</f>
        <v>#N/A</v>
      </c>
      <c r="U37" s="143" t="s">
        <v>140</v>
      </c>
      <c r="V37" s="62"/>
      <c r="W37" s="145"/>
      <c r="X37" s="140"/>
      <c r="Y37" s="137"/>
      <c r="Z37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7" s="63"/>
      <c r="AB37" s="101" t="e">
        <f t="shared" si="4"/>
        <v>#N/A</v>
      </c>
      <c r="AC37" s="60">
        <v>1</v>
      </c>
      <c r="AD37" s="51">
        <f t="shared" si="5"/>
        <v>0</v>
      </c>
      <c r="AE37" s="56">
        <f t="shared" si="6"/>
        <v>0</v>
      </c>
      <c r="AF37" s="56">
        <f t="shared" si="7"/>
        <v>0</v>
      </c>
      <c r="AG37" s="56">
        <f t="shared" si="8"/>
        <v>0</v>
      </c>
      <c r="AH37" s="89">
        <f t="shared" si="9"/>
        <v>219.39310229205779</v>
      </c>
      <c r="AI37" s="90" t="e">
        <f>VLOOKUP(Q37,Dados!$T$4:$U$19,2,FALSE)</f>
        <v>#N/A</v>
      </c>
      <c r="AJ37" s="91">
        <v>1</v>
      </c>
    </row>
    <row r="38" spans="1:36" customFormat="1">
      <c r="A38" s="61"/>
      <c r="B38" s="52" t="s">
        <v>134</v>
      </c>
      <c r="C38" s="52"/>
      <c r="D38" s="52"/>
      <c r="E38" s="53"/>
      <c r="F38" s="53"/>
      <c r="G38" s="53" t="s">
        <v>137</v>
      </c>
      <c r="H38" s="53"/>
      <c r="I38" s="54"/>
      <c r="J38" s="55">
        <f t="shared" si="0"/>
        <v>0</v>
      </c>
      <c r="K38" s="56">
        <v>0.92</v>
      </c>
      <c r="L38" s="57">
        <f t="shared" si="1"/>
        <v>0</v>
      </c>
      <c r="M38" s="57">
        <f t="shared" si="2"/>
        <v>0</v>
      </c>
      <c r="N38" s="57">
        <f t="shared" si="3"/>
        <v>0</v>
      </c>
      <c r="O38" s="56"/>
      <c r="P38" s="56" t="s">
        <v>138</v>
      </c>
      <c r="Q38" s="56" t="e">
        <f>IF(R38="PVC",VLOOKUP(O38,Dados!C$3:D$19,2),IF(R38="EPR",VLOOKUP(O38,Dados!C$22:D$38,2)))</f>
        <v>#N/A</v>
      </c>
      <c r="R38" s="56" t="s">
        <v>139</v>
      </c>
      <c r="S38" s="51">
        <f t="shared" si="10"/>
        <v>0</v>
      </c>
      <c r="T38" s="56" t="e">
        <f>IF(R38="PVC",VLOOKUP(Q38,Dados!L$3:M$18,2),IF(R38="EPR",VLOOKUP(Q38,Dados!L$3:N$18,3)))</f>
        <v>#N/A</v>
      </c>
      <c r="U38" s="143" t="s">
        <v>140</v>
      </c>
      <c r="V38" s="62"/>
      <c r="W38" s="145"/>
      <c r="X38" s="140"/>
      <c r="Y38" s="137"/>
      <c r="Z38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8" s="63"/>
      <c r="AB38" s="101" t="e">
        <f t="shared" si="4"/>
        <v>#N/A</v>
      </c>
      <c r="AC38" s="60">
        <v>1</v>
      </c>
      <c r="AD38" s="51">
        <f t="shared" si="5"/>
        <v>0</v>
      </c>
      <c r="AE38" s="56">
        <f t="shared" si="6"/>
        <v>0</v>
      </c>
      <c r="AF38" s="56">
        <f t="shared" si="7"/>
        <v>0</v>
      </c>
      <c r="AG38" s="56">
        <f t="shared" si="8"/>
        <v>0</v>
      </c>
      <c r="AH38" s="89">
        <f t="shared" si="9"/>
        <v>219.39310229205779</v>
      </c>
      <c r="AI38" s="90" t="e">
        <f>VLOOKUP(Q38,Dados!$T$4:$U$19,2,FALSE)</f>
        <v>#N/A</v>
      </c>
      <c r="AJ38" s="91">
        <v>1</v>
      </c>
    </row>
    <row r="39" spans="1:36" customFormat="1">
      <c r="A39" s="52"/>
      <c r="B39" s="52"/>
      <c r="C39" s="52" t="s">
        <v>134</v>
      </c>
      <c r="D39" s="52"/>
      <c r="E39" s="53"/>
      <c r="F39" s="53"/>
      <c r="G39" s="53" t="s">
        <v>137</v>
      </c>
      <c r="H39" s="53"/>
      <c r="I39" s="54"/>
      <c r="J39" s="55">
        <f t="shared" si="0"/>
        <v>0</v>
      </c>
      <c r="K39" s="56">
        <v>0.92</v>
      </c>
      <c r="L39" s="57">
        <f t="shared" si="1"/>
        <v>0</v>
      </c>
      <c r="M39" s="57">
        <f t="shared" si="2"/>
        <v>0</v>
      </c>
      <c r="N39" s="57">
        <f t="shared" si="3"/>
        <v>0</v>
      </c>
      <c r="O39" s="56"/>
      <c r="P39" s="56" t="s">
        <v>138</v>
      </c>
      <c r="Q39" s="56" t="e">
        <f>IF(R39="PVC",VLOOKUP(O39,Dados!C$3:D$19,2),IF(R39="EPR",VLOOKUP(O39,Dados!C$22:D$38,2)))</f>
        <v>#N/A</v>
      </c>
      <c r="R39" s="56" t="s">
        <v>139</v>
      </c>
      <c r="S39" s="51">
        <f t="shared" si="10"/>
        <v>0</v>
      </c>
      <c r="T39" s="56" t="e">
        <f>IF(R39="PVC",VLOOKUP(Q39,Dados!L$3:M$18,2),IF(R39="EPR",VLOOKUP(Q39,Dados!L$3:N$18,3)))</f>
        <v>#N/A</v>
      </c>
      <c r="U39" s="143" t="s">
        <v>140</v>
      </c>
      <c r="V39" s="62"/>
      <c r="W39" s="145"/>
      <c r="X39" s="140"/>
      <c r="Y39" s="137"/>
      <c r="Z39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39" s="63"/>
      <c r="AB39" s="101" t="e">
        <f t="shared" si="4"/>
        <v>#N/A</v>
      </c>
      <c r="AC39" s="60">
        <v>1</v>
      </c>
      <c r="AD39" s="51">
        <f t="shared" si="5"/>
        <v>0</v>
      </c>
      <c r="AE39" s="56">
        <f t="shared" si="6"/>
        <v>0</v>
      </c>
      <c r="AF39" s="56">
        <f t="shared" si="7"/>
        <v>0</v>
      </c>
      <c r="AG39" s="56">
        <f t="shared" si="8"/>
        <v>0</v>
      </c>
      <c r="AH39" s="89">
        <f t="shared" si="9"/>
        <v>219.39310229205779</v>
      </c>
      <c r="AI39" s="90" t="e">
        <f>VLOOKUP(Q39,Dados!$T$4:$U$19,2,FALSE)</f>
        <v>#N/A</v>
      </c>
      <c r="AJ39" s="91">
        <v>1</v>
      </c>
    </row>
    <row r="40" spans="1:36" customFormat="1">
      <c r="A40" s="61" t="s">
        <v>134</v>
      </c>
      <c r="B40" s="52"/>
      <c r="C40" s="52"/>
      <c r="D40" s="52"/>
      <c r="E40" s="53"/>
      <c r="F40" s="53"/>
      <c r="G40" s="53" t="s">
        <v>137</v>
      </c>
      <c r="H40" s="53"/>
      <c r="I40" s="54"/>
      <c r="J40" s="55">
        <f t="shared" si="0"/>
        <v>0</v>
      </c>
      <c r="K40" s="56">
        <v>0.92</v>
      </c>
      <c r="L40" s="57">
        <f t="shared" si="1"/>
        <v>0</v>
      </c>
      <c r="M40" s="57">
        <f t="shared" si="2"/>
        <v>0</v>
      </c>
      <c r="N40" s="57">
        <f t="shared" si="3"/>
        <v>0</v>
      </c>
      <c r="O40" s="56"/>
      <c r="P40" s="56" t="s">
        <v>138</v>
      </c>
      <c r="Q40" s="56" t="e">
        <f>IF(R40="PVC",VLOOKUP(O40,Dados!C$3:D$19,2),IF(R40="EPR",VLOOKUP(O40,Dados!C$22:D$38,2)))</f>
        <v>#N/A</v>
      </c>
      <c r="R40" s="56" t="s">
        <v>139</v>
      </c>
      <c r="S40" s="51">
        <f t="shared" si="10"/>
        <v>0</v>
      </c>
      <c r="T40" s="56" t="e">
        <f>IF(R40="PVC",VLOOKUP(Q40,Dados!L$3:M$18,2),IF(R40="EPR",VLOOKUP(Q40,Dados!L$3:N$18,3)))</f>
        <v>#N/A</v>
      </c>
      <c r="U40" s="143" t="s">
        <v>140</v>
      </c>
      <c r="V40" s="62"/>
      <c r="W40" s="145"/>
      <c r="X40" s="140"/>
      <c r="Y40" s="137"/>
      <c r="Z40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0" s="63"/>
      <c r="AB40" s="101" t="e">
        <f t="shared" si="4"/>
        <v>#N/A</v>
      </c>
      <c r="AC40" s="60">
        <v>1</v>
      </c>
      <c r="AD40" s="51">
        <f t="shared" si="5"/>
        <v>0</v>
      </c>
      <c r="AE40" s="56">
        <f t="shared" si="6"/>
        <v>0</v>
      </c>
      <c r="AF40" s="56">
        <f t="shared" si="7"/>
        <v>0</v>
      </c>
      <c r="AG40" s="56">
        <f t="shared" si="8"/>
        <v>0</v>
      </c>
      <c r="AH40" s="89">
        <f t="shared" si="9"/>
        <v>219.39310229205779</v>
      </c>
      <c r="AI40" s="90" t="e">
        <f>VLOOKUP(Q40,Dados!$T$4:$U$19,2,FALSE)</f>
        <v>#N/A</v>
      </c>
      <c r="AJ40" s="91">
        <v>1</v>
      </c>
    </row>
    <row r="41" spans="1:36" customFormat="1">
      <c r="A41" s="52"/>
      <c r="B41" s="52" t="s">
        <v>134</v>
      </c>
      <c r="C41" s="52"/>
      <c r="D41" s="52"/>
      <c r="E41" s="53"/>
      <c r="F41" s="53"/>
      <c r="G41" s="53" t="s">
        <v>137</v>
      </c>
      <c r="H41" s="53"/>
      <c r="I41" s="54"/>
      <c r="J41" s="55">
        <f t="shared" si="0"/>
        <v>0</v>
      </c>
      <c r="K41" s="56">
        <v>0.92</v>
      </c>
      <c r="L41" s="57">
        <f t="shared" si="1"/>
        <v>0</v>
      </c>
      <c r="M41" s="57">
        <f t="shared" si="2"/>
        <v>0</v>
      </c>
      <c r="N41" s="57">
        <f t="shared" si="3"/>
        <v>0</v>
      </c>
      <c r="O41" s="56"/>
      <c r="P41" s="56" t="s">
        <v>138</v>
      </c>
      <c r="Q41" s="56" t="e">
        <f>IF(R41="PVC",VLOOKUP(O41,Dados!C$3:D$19,2),IF(R41="EPR",VLOOKUP(O41,Dados!C$22:D$38,2)))</f>
        <v>#N/A</v>
      </c>
      <c r="R41" s="56" t="s">
        <v>139</v>
      </c>
      <c r="S41" s="51">
        <f t="shared" si="10"/>
        <v>0</v>
      </c>
      <c r="T41" s="56" t="e">
        <f>IF(R41="PVC",VLOOKUP(Q41,Dados!L$3:M$18,2),IF(R41="EPR",VLOOKUP(Q41,Dados!L$3:N$18,3)))</f>
        <v>#N/A</v>
      </c>
      <c r="U41" s="143" t="s">
        <v>140</v>
      </c>
      <c r="V41" s="62"/>
      <c r="W41" s="145"/>
      <c r="X41" s="140"/>
      <c r="Y41" s="137"/>
      <c r="Z41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1" s="63"/>
      <c r="AB41" s="101" t="e">
        <f t="shared" si="4"/>
        <v>#N/A</v>
      </c>
      <c r="AC41" s="60">
        <v>1</v>
      </c>
      <c r="AD41" s="51">
        <f t="shared" si="5"/>
        <v>0</v>
      </c>
      <c r="AE41" s="56">
        <f t="shared" si="6"/>
        <v>0</v>
      </c>
      <c r="AF41" s="56">
        <f t="shared" si="7"/>
        <v>0</v>
      </c>
      <c r="AG41" s="56">
        <f t="shared" si="8"/>
        <v>0</v>
      </c>
      <c r="AH41" s="89">
        <f t="shared" si="9"/>
        <v>219.39310229205779</v>
      </c>
      <c r="AI41" s="90" t="e">
        <f>VLOOKUP(Q41,Dados!$T$4:$U$19,2,FALSE)</f>
        <v>#N/A</v>
      </c>
      <c r="AJ41" s="91">
        <v>1</v>
      </c>
    </row>
    <row r="42" spans="1:36" customFormat="1">
      <c r="A42" s="52"/>
      <c r="B42" s="52"/>
      <c r="C42" s="52" t="s">
        <v>134</v>
      </c>
      <c r="D42" s="52"/>
      <c r="E42" s="53"/>
      <c r="F42" s="53"/>
      <c r="G42" s="53" t="s">
        <v>137</v>
      </c>
      <c r="H42" s="53"/>
      <c r="I42" s="54"/>
      <c r="J42" s="55">
        <f t="shared" si="0"/>
        <v>0</v>
      </c>
      <c r="K42" s="56">
        <v>0.92</v>
      </c>
      <c r="L42" s="57">
        <f t="shared" si="1"/>
        <v>0</v>
      </c>
      <c r="M42" s="57">
        <f t="shared" si="2"/>
        <v>0</v>
      </c>
      <c r="N42" s="57">
        <f t="shared" si="3"/>
        <v>0</v>
      </c>
      <c r="O42" s="56"/>
      <c r="P42" s="56" t="s">
        <v>138</v>
      </c>
      <c r="Q42" s="56" t="e">
        <f>IF(R42="PVC",VLOOKUP(O42,Dados!C$3:D$19,2),IF(R42="EPR",VLOOKUP(O42,Dados!C$22:D$38,2)))</f>
        <v>#N/A</v>
      </c>
      <c r="R42" s="56" t="s">
        <v>139</v>
      </c>
      <c r="S42" s="51">
        <f t="shared" si="10"/>
        <v>0</v>
      </c>
      <c r="T42" s="56" t="e">
        <f>IF(R42="PVC",VLOOKUP(Q42,Dados!L$3:M$18,2),IF(R42="EPR",VLOOKUP(Q42,Dados!L$3:N$18,3)))</f>
        <v>#N/A</v>
      </c>
      <c r="U42" s="143" t="s">
        <v>140</v>
      </c>
      <c r="V42" s="62"/>
      <c r="W42" s="145"/>
      <c r="X42" s="140"/>
      <c r="Y42" s="137"/>
      <c r="Z42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2" s="63"/>
      <c r="AB42" s="101" t="e">
        <f t="shared" si="4"/>
        <v>#N/A</v>
      </c>
      <c r="AC42" s="60">
        <v>1</v>
      </c>
      <c r="AD42" s="51">
        <f t="shared" si="5"/>
        <v>0</v>
      </c>
      <c r="AE42" s="56">
        <f t="shared" si="6"/>
        <v>0</v>
      </c>
      <c r="AF42" s="56">
        <f t="shared" si="7"/>
        <v>0</v>
      </c>
      <c r="AG42" s="56">
        <f t="shared" si="8"/>
        <v>0</v>
      </c>
      <c r="AH42" s="89">
        <f t="shared" si="9"/>
        <v>219.39310229205779</v>
      </c>
      <c r="AI42" s="90" t="e">
        <f>VLOOKUP(Q42,Dados!$T$4:$U$19,2,FALSE)</f>
        <v>#N/A</v>
      </c>
      <c r="AJ42" s="91">
        <v>1</v>
      </c>
    </row>
    <row r="43" spans="1:36" customFormat="1">
      <c r="A43" s="52" t="s">
        <v>134</v>
      </c>
      <c r="B43" s="52"/>
      <c r="C43" s="52"/>
      <c r="D43" s="52"/>
      <c r="E43" s="53"/>
      <c r="F43" s="53"/>
      <c r="G43" s="53" t="s">
        <v>137</v>
      </c>
      <c r="H43" s="53"/>
      <c r="I43" s="54"/>
      <c r="J43" s="55">
        <f t="shared" si="0"/>
        <v>0</v>
      </c>
      <c r="K43" s="56">
        <v>0.92</v>
      </c>
      <c r="L43" s="57">
        <f t="shared" si="1"/>
        <v>0</v>
      </c>
      <c r="M43" s="57">
        <f t="shared" si="2"/>
        <v>0</v>
      </c>
      <c r="N43" s="57">
        <f t="shared" si="3"/>
        <v>0</v>
      </c>
      <c r="O43" s="56"/>
      <c r="P43" s="56" t="s">
        <v>138</v>
      </c>
      <c r="Q43" s="56" t="e">
        <f>IF(R43="PVC",VLOOKUP(O43,Dados!C$3:D$19,2),IF(R43="EPR",VLOOKUP(O43,Dados!C$22:D$38,2)))</f>
        <v>#N/A</v>
      </c>
      <c r="R43" s="56" t="s">
        <v>139</v>
      </c>
      <c r="S43" s="51">
        <f t="shared" si="10"/>
        <v>0</v>
      </c>
      <c r="T43" s="56" t="e">
        <f>IF(R43="PVC",VLOOKUP(Q43,Dados!L$3:M$18,2),IF(R43="EPR",VLOOKUP(Q43,Dados!L$3:N$18,3)))</f>
        <v>#N/A</v>
      </c>
      <c r="U43" s="143" t="s">
        <v>140</v>
      </c>
      <c r="V43" s="62"/>
      <c r="W43" s="145"/>
      <c r="X43" s="140"/>
      <c r="Y43" s="137"/>
      <c r="Z43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3" s="63"/>
      <c r="AB43" s="101" t="e">
        <f t="shared" si="4"/>
        <v>#N/A</v>
      </c>
      <c r="AC43" s="60">
        <v>1</v>
      </c>
      <c r="AD43" s="51">
        <f t="shared" si="5"/>
        <v>0</v>
      </c>
      <c r="AE43" s="56">
        <f t="shared" si="6"/>
        <v>0</v>
      </c>
      <c r="AF43" s="56">
        <f t="shared" si="7"/>
        <v>0</v>
      </c>
      <c r="AG43" s="56">
        <f t="shared" si="8"/>
        <v>0</v>
      </c>
      <c r="AH43" s="89">
        <f t="shared" si="9"/>
        <v>219.39310229205779</v>
      </c>
      <c r="AI43" s="90" t="e">
        <f>VLOOKUP(Q43,Dados!$T$4:$U$19,2,FALSE)</f>
        <v>#N/A</v>
      </c>
      <c r="AJ43" s="91">
        <v>1</v>
      </c>
    </row>
    <row r="44" spans="1:36" customFormat="1">
      <c r="A44" s="61"/>
      <c r="B44" s="52" t="s">
        <v>134</v>
      </c>
      <c r="C44" s="52"/>
      <c r="D44" s="52"/>
      <c r="E44" s="53"/>
      <c r="F44" s="53"/>
      <c r="G44" s="53" t="s">
        <v>137</v>
      </c>
      <c r="H44" s="53"/>
      <c r="I44" s="54"/>
      <c r="J44" s="55">
        <f t="shared" si="0"/>
        <v>0</v>
      </c>
      <c r="K44" s="56">
        <v>0.92</v>
      </c>
      <c r="L44" s="57">
        <f t="shared" si="1"/>
        <v>0</v>
      </c>
      <c r="M44" s="57">
        <f t="shared" si="2"/>
        <v>0</v>
      </c>
      <c r="N44" s="57">
        <f t="shared" si="3"/>
        <v>0</v>
      </c>
      <c r="O44" s="56"/>
      <c r="P44" s="56" t="s">
        <v>138</v>
      </c>
      <c r="Q44" s="56" t="e">
        <f>IF(R44="PVC",VLOOKUP(O44,Dados!C$3:D$19,2),IF(R44="EPR",VLOOKUP(O44,Dados!C$22:D$38,2)))</f>
        <v>#N/A</v>
      </c>
      <c r="R44" s="56" t="s">
        <v>139</v>
      </c>
      <c r="S44" s="51">
        <f t="shared" si="10"/>
        <v>0</v>
      </c>
      <c r="T44" s="56" t="e">
        <f>IF(R44="PVC",VLOOKUP(Q44,Dados!L$3:M$18,2),IF(R44="EPR",VLOOKUP(Q44,Dados!L$3:N$18,3)))</f>
        <v>#N/A</v>
      </c>
      <c r="U44" s="143" t="s">
        <v>140</v>
      </c>
      <c r="V44" s="62"/>
      <c r="W44" s="145"/>
      <c r="X44" s="140"/>
      <c r="Y44" s="137"/>
      <c r="Z44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4" s="63"/>
      <c r="AB44" s="101" t="e">
        <f t="shared" si="4"/>
        <v>#N/A</v>
      </c>
      <c r="AC44" s="60">
        <v>1</v>
      </c>
      <c r="AD44" s="51">
        <f t="shared" si="5"/>
        <v>0</v>
      </c>
      <c r="AE44" s="56">
        <f t="shared" si="6"/>
        <v>0</v>
      </c>
      <c r="AF44" s="56">
        <f t="shared" si="7"/>
        <v>0</v>
      </c>
      <c r="AG44" s="56">
        <f t="shared" si="8"/>
        <v>0</v>
      </c>
      <c r="AH44" s="89">
        <f t="shared" si="9"/>
        <v>219.39310229205779</v>
      </c>
      <c r="AI44" s="90" t="e">
        <f>VLOOKUP(Q44,Dados!$T$4:$U$19,2,FALSE)</f>
        <v>#N/A</v>
      </c>
      <c r="AJ44" s="91">
        <v>1</v>
      </c>
    </row>
    <row r="45" spans="1:36" customFormat="1">
      <c r="A45" s="52"/>
      <c r="B45" s="52"/>
      <c r="C45" s="52" t="s">
        <v>134</v>
      </c>
      <c r="D45" s="52"/>
      <c r="E45" s="53"/>
      <c r="F45" s="53"/>
      <c r="G45" s="53" t="s">
        <v>137</v>
      </c>
      <c r="H45" s="53"/>
      <c r="I45" s="54"/>
      <c r="J45" s="55">
        <f t="shared" si="0"/>
        <v>0</v>
      </c>
      <c r="K45" s="56">
        <v>0.92</v>
      </c>
      <c r="L45" s="57">
        <f t="shared" si="1"/>
        <v>0</v>
      </c>
      <c r="M45" s="57">
        <f t="shared" si="2"/>
        <v>0</v>
      </c>
      <c r="N45" s="57">
        <f t="shared" si="3"/>
        <v>0</v>
      </c>
      <c r="O45" s="56"/>
      <c r="P45" s="56" t="s">
        <v>138</v>
      </c>
      <c r="Q45" s="56" t="e">
        <f>IF(R45="PVC",VLOOKUP(O45,Dados!C$3:D$19,2),IF(R45="EPR",VLOOKUP(O45,Dados!C$22:D$38,2)))</f>
        <v>#N/A</v>
      </c>
      <c r="R45" s="56" t="s">
        <v>139</v>
      </c>
      <c r="S45" s="51">
        <f t="shared" si="10"/>
        <v>0</v>
      </c>
      <c r="T45" s="56" t="e">
        <f>IF(R45="PVC",VLOOKUP(Q45,Dados!L$3:M$18,2),IF(R45="EPR",VLOOKUP(Q45,Dados!L$3:N$18,3)))</f>
        <v>#N/A</v>
      </c>
      <c r="U45" s="143" t="s">
        <v>140</v>
      </c>
      <c r="V45" s="62"/>
      <c r="W45" s="145"/>
      <c r="X45" s="140"/>
      <c r="Y45" s="137"/>
      <c r="Z45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5" s="63"/>
      <c r="AB45" s="101" t="e">
        <f t="shared" si="4"/>
        <v>#N/A</v>
      </c>
      <c r="AC45" s="60">
        <v>1</v>
      </c>
      <c r="AD45" s="51">
        <f t="shared" si="5"/>
        <v>0</v>
      </c>
      <c r="AE45" s="56">
        <f t="shared" si="6"/>
        <v>0</v>
      </c>
      <c r="AF45" s="56">
        <f t="shared" si="7"/>
        <v>0</v>
      </c>
      <c r="AG45" s="56">
        <f t="shared" si="8"/>
        <v>0</v>
      </c>
      <c r="AH45" s="89">
        <f t="shared" si="9"/>
        <v>219.39310229205779</v>
      </c>
      <c r="AI45" s="90" t="e">
        <f>VLOOKUP(Q45,Dados!$T$4:$U$19,2,FALSE)</f>
        <v>#N/A</v>
      </c>
      <c r="AJ45" s="91">
        <v>1</v>
      </c>
    </row>
    <row r="46" spans="1:36" customFormat="1">
      <c r="A46" s="61" t="s">
        <v>134</v>
      </c>
      <c r="B46" s="52"/>
      <c r="C46" s="52"/>
      <c r="D46" s="52"/>
      <c r="E46" s="53"/>
      <c r="F46" s="53"/>
      <c r="G46" s="53" t="s">
        <v>137</v>
      </c>
      <c r="H46" s="53"/>
      <c r="I46" s="54"/>
      <c r="J46" s="55">
        <f t="shared" si="0"/>
        <v>0</v>
      </c>
      <c r="K46" s="56">
        <v>0.92</v>
      </c>
      <c r="L46" s="57">
        <f t="shared" si="1"/>
        <v>0</v>
      </c>
      <c r="M46" s="57">
        <f t="shared" si="2"/>
        <v>0</v>
      </c>
      <c r="N46" s="57">
        <f t="shared" si="3"/>
        <v>0</v>
      </c>
      <c r="O46" s="56"/>
      <c r="P46" s="56" t="s">
        <v>138</v>
      </c>
      <c r="Q46" s="56" t="e">
        <f>IF(R46="PVC",VLOOKUP(O46,Dados!C$3:D$19,2),IF(R46="EPR",VLOOKUP(O46,Dados!C$22:D$38,2)))</f>
        <v>#N/A</v>
      </c>
      <c r="R46" s="56" t="s">
        <v>139</v>
      </c>
      <c r="S46" s="51">
        <f t="shared" si="10"/>
        <v>0</v>
      </c>
      <c r="T46" s="56" t="e">
        <f>IF(R46="PVC",VLOOKUP(Q46,Dados!L$3:M$18,2),IF(R46="EPR",VLOOKUP(Q46,Dados!L$3:N$18,3)))</f>
        <v>#N/A</v>
      </c>
      <c r="U46" s="143" t="s">
        <v>140</v>
      </c>
      <c r="V46" s="62"/>
      <c r="W46" s="145"/>
      <c r="X46" s="140"/>
      <c r="Y46" s="137"/>
      <c r="Z46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6" s="63"/>
      <c r="AB46" s="101" t="e">
        <f t="shared" si="4"/>
        <v>#N/A</v>
      </c>
      <c r="AC46" s="60">
        <v>1</v>
      </c>
      <c r="AD46" s="51">
        <f t="shared" si="5"/>
        <v>0</v>
      </c>
      <c r="AE46" s="56">
        <f t="shared" si="6"/>
        <v>0</v>
      </c>
      <c r="AF46" s="56">
        <f t="shared" si="7"/>
        <v>0</v>
      </c>
      <c r="AG46" s="56">
        <f t="shared" si="8"/>
        <v>0</v>
      </c>
      <c r="AH46" s="89">
        <f t="shared" si="9"/>
        <v>219.39310229205779</v>
      </c>
      <c r="AI46" s="90" t="e">
        <f>VLOOKUP(Q46,Dados!$T$4:$U$19,2,FALSE)</f>
        <v>#N/A</v>
      </c>
      <c r="AJ46" s="91">
        <v>1</v>
      </c>
    </row>
    <row r="47" spans="1:36" customFormat="1">
      <c r="A47" s="52"/>
      <c r="B47" s="52" t="s">
        <v>134</v>
      </c>
      <c r="C47" s="52"/>
      <c r="D47" s="52"/>
      <c r="E47" s="53"/>
      <c r="F47" s="53"/>
      <c r="G47" s="53" t="s">
        <v>137</v>
      </c>
      <c r="H47" s="53"/>
      <c r="I47" s="54"/>
      <c r="J47" s="55">
        <f t="shared" si="0"/>
        <v>0</v>
      </c>
      <c r="K47" s="56">
        <v>0.92</v>
      </c>
      <c r="L47" s="57">
        <f t="shared" si="1"/>
        <v>0</v>
      </c>
      <c r="M47" s="57">
        <f t="shared" si="2"/>
        <v>0</v>
      </c>
      <c r="N47" s="57">
        <f t="shared" si="3"/>
        <v>0</v>
      </c>
      <c r="O47" s="56"/>
      <c r="P47" s="56" t="s">
        <v>138</v>
      </c>
      <c r="Q47" s="56" t="e">
        <f>IF(R47="PVC",VLOOKUP(O47,Dados!C$3:D$19,2),IF(R47="EPR",VLOOKUP(O47,Dados!C$22:D$38,2)))</f>
        <v>#N/A</v>
      </c>
      <c r="R47" s="56" t="s">
        <v>139</v>
      </c>
      <c r="S47" s="51">
        <f t="shared" si="10"/>
        <v>0</v>
      </c>
      <c r="T47" s="56" t="e">
        <f>IF(R47="PVC",VLOOKUP(Q47,Dados!L$3:M$18,2),IF(R47="EPR",VLOOKUP(Q47,Dados!L$3:N$18,3)))</f>
        <v>#N/A</v>
      </c>
      <c r="U47" s="143" t="s">
        <v>140</v>
      </c>
      <c r="V47" s="62"/>
      <c r="W47" s="145"/>
      <c r="X47" s="140"/>
      <c r="Y47" s="137"/>
      <c r="Z47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7" s="63"/>
      <c r="AB47" s="101" t="e">
        <f t="shared" si="4"/>
        <v>#N/A</v>
      </c>
      <c r="AC47" s="60">
        <v>1</v>
      </c>
      <c r="AD47" s="51">
        <f t="shared" si="5"/>
        <v>0</v>
      </c>
      <c r="AE47" s="56">
        <f t="shared" si="6"/>
        <v>0</v>
      </c>
      <c r="AF47" s="56">
        <f t="shared" si="7"/>
        <v>0</v>
      </c>
      <c r="AG47" s="56">
        <f t="shared" si="8"/>
        <v>0</v>
      </c>
      <c r="AH47" s="89">
        <f t="shared" si="9"/>
        <v>219.39310229205779</v>
      </c>
      <c r="AI47" s="90" t="e">
        <f>VLOOKUP(Q47,Dados!$T$4:$U$19,2,FALSE)</f>
        <v>#N/A</v>
      </c>
      <c r="AJ47" s="91">
        <v>1</v>
      </c>
    </row>
    <row r="48" spans="1:36" customFormat="1">
      <c r="A48" s="52"/>
      <c r="B48" s="52"/>
      <c r="C48" s="52" t="s">
        <v>134</v>
      </c>
      <c r="D48" s="52"/>
      <c r="E48" s="53"/>
      <c r="F48" s="53"/>
      <c r="G48" s="53" t="s">
        <v>137</v>
      </c>
      <c r="H48" s="53"/>
      <c r="I48" s="54"/>
      <c r="J48" s="55">
        <f t="shared" si="0"/>
        <v>0</v>
      </c>
      <c r="K48" s="56">
        <v>0.92</v>
      </c>
      <c r="L48" s="57">
        <f t="shared" si="1"/>
        <v>0</v>
      </c>
      <c r="M48" s="57">
        <f t="shared" si="2"/>
        <v>0</v>
      </c>
      <c r="N48" s="57">
        <f t="shared" si="3"/>
        <v>0</v>
      </c>
      <c r="O48" s="56"/>
      <c r="P48" s="56" t="s">
        <v>138</v>
      </c>
      <c r="Q48" s="56" t="e">
        <f>IF(R48="PVC",VLOOKUP(O48,Dados!C$3:D$19,2),IF(R48="EPR",VLOOKUP(O48,Dados!C$22:D$38,2)))</f>
        <v>#N/A</v>
      </c>
      <c r="R48" s="56" t="s">
        <v>139</v>
      </c>
      <c r="S48" s="51">
        <f t="shared" si="10"/>
        <v>0</v>
      </c>
      <c r="T48" s="56" t="e">
        <f>IF(R48="PVC",VLOOKUP(Q48,Dados!L$3:M$18,2),IF(R48="EPR",VLOOKUP(Q48,Dados!L$3:N$18,3)))</f>
        <v>#N/A</v>
      </c>
      <c r="U48" s="143" t="s">
        <v>140</v>
      </c>
      <c r="V48" s="62"/>
      <c r="W48" s="145"/>
      <c r="X48" s="140"/>
      <c r="Y48" s="137"/>
      <c r="Z48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8" s="63"/>
      <c r="AB48" s="101" t="e">
        <f t="shared" si="4"/>
        <v>#N/A</v>
      </c>
      <c r="AC48" s="60">
        <v>1</v>
      </c>
      <c r="AD48" s="51">
        <f t="shared" si="5"/>
        <v>0</v>
      </c>
      <c r="AE48" s="56">
        <f t="shared" si="6"/>
        <v>0</v>
      </c>
      <c r="AF48" s="56">
        <f t="shared" si="7"/>
        <v>0</v>
      </c>
      <c r="AG48" s="56">
        <f t="shared" si="8"/>
        <v>0</v>
      </c>
      <c r="AH48" s="89">
        <f t="shared" si="9"/>
        <v>219.39310229205779</v>
      </c>
      <c r="AI48" s="90" t="e">
        <f>VLOOKUP(Q48,Dados!$T$4:$U$19,2,FALSE)</f>
        <v>#N/A</v>
      </c>
      <c r="AJ48" s="91">
        <v>1</v>
      </c>
    </row>
    <row r="49" spans="1:36" customFormat="1">
      <c r="A49" s="52" t="s">
        <v>134</v>
      </c>
      <c r="B49" s="52"/>
      <c r="C49" s="52"/>
      <c r="D49" s="52"/>
      <c r="E49" s="53"/>
      <c r="F49" s="53"/>
      <c r="G49" s="53" t="s">
        <v>137</v>
      </c>
      <c r="H49" s="53"/>
      <c r="I49" s="54"/>
      <c r="J49" s="55">
        <f t="shared" si="0"/>
        <v>0</v>
      </c>
      <c r="K49" s="56">
        <v>0.92</v>
      </c>
      <c r="L49" s="57">
        <f t="shared" si="1"/>
        <v>0</v>
      </c>
      <c r="M49" s="57">
        <f t="shared" si="2"/>
        <v>0</v>
      </c>
      <c r="N49" s="57">
        <f t="shared" si="3"/>
        <v>0</v>
      </c>
      <c r="O49" s="56"/>
      <c r="P49" s="56" t="s">
        <v>138</v>
      </c>
      <c r="Q49" s="56" t="e">
        <f>IF(R49="PVC",VLOOKUP(O49,Dados!C$3:D$19,2),IF(R49="EPR",VLOOKUP(O49,Dados!C$22:D$38,2)))</f>
        <v>#N/A</v>
      </c>
      <c r="R49" s="56" t="s">
        <v>139</v>
      </c>
      <c r="S49" s="51">
        <f t="shared" si="10"/>
        <v>0</v>
      </c>
      <c r="T49" s="56" t="e">
        <f>IF(R49="PVC",VLOOKUP(Q49,Dados!L$3:M$18,2),IF(R49="EPR",VLOOKUP(Q49,Dados!L$3:N$18,3)))</f>
        <v>#N/A</v>
      </c>
      <c r="U49" s="143" t="s">
        <v>140</v>
      </c>
      <c r="V49" s="62"/>
      <c r="W49" s="145"/>
      <c r="X49" s="140"/>
      <c r="Y49" s="137"/>
      <c r="Z49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49" s="63"/>
      <c r="AB49" s="101" t="e">
        <f t="shared" si="4"/>
        <v>#N/A</v>
      </c>
      <c r="AC49" s="60">
        <v>1</v>
      </c>
      <c r="AD49" s="51">
        <f t="shared" si="5"/>
        <v>0</v>
      </c>
      <c r="AE49" s="56">
        <f t="shared" si="6"/>
        <v>0</v>
      </c>
      <c r="AF49" s="56">
        <f t="shared" si="7"/>
        <v>0</v>
      </c>
      <c r="AG49" s="56">
        <f t="shared" si="8"/>
        <v>0</v>
      </c>
      <c r="AH49" s="89">
        <f t="shared" si="9"/>
        <v>219.39310229205779</v>
      </c>
      <c r="AI49" s="90" t="e">
        <f>VLOOKUP(Q49,Dados!$T$4:$U$19,2,FALSE)</f>
        <v>#N/A</v>
      </c>
      <c r="AJ49" s="91">
        <v>1</v>
      </c>
    </row>
    <row r="50" spans="1:36" customFormat="1">
      <c r="A50" s="61"/>
      <c r="B50" s="52" t="s">
        <v>134</v>
      </c>
      <c r="C50" s="52"/>
      <c r="D50" s="52"/>
      <c r="E50" s="53"/>
      <c r="F50" s="53"/>
      <c r="G50" s="53" t="s">
        <v>137</v>
      </c>
      <c r="H50" s="53"/>
      <c r="I50" s="54"/>
      <c r="J50" s="55">
        <f t="shared" si="0"/>
        <v>0</v>
      </c>
      <c r="K50" s="56">
        <v>0.92</v>
      </c>
      <c r="L50" s="57">
        <f t="shared" si="1"/>
        <v>0</v>
      </c>
      <c r="M50" s="57">
        <f t="shared" si="2"/>
        <v>0</v>
      </c>
      <c r="N50" s="57">
        <f t="shared" si="3"/>
        <v>0</v>
      </c>
      <c r="O50" s="56"/>
      <c r="P50" s="56" t="s">
        <v>138</v>
      </c>
      <c r="Q50" s="56" t="e">
        <f>IF(R50="PVC",VLOOKUP(O50,Dados!C$3:D$19,2),IF(R50="EPR",VLOOKUP(O50,Dados!C$22:D$38,2)))</f>
        <v>#N/A</v>
      </c>
      <c r="R50" s="56" t="s">
        <v>139</v>
      </c>
      <c r="S50" s="51">
        <f t="shared" si="10"/>
        <v>0</v>
      </c>
      <c r="T50" s="56" t="e">
        <f>IF(R50="PVC",VLOOKUP(Q50,Dados!L$3:M$18,2),IF(R50="EPR",VLOOKUP(Q50,Dados!L$3:N$18,3)))</f>
        <v>#N/A</v>
      </c>
      <c r="U50" s="143" t="s">
        <v>140</v>
      </c>
      <c r="V50" s="62"/>
      <c r="W50" s="145"/>
      <c r="X50" s="140"/>
      <c r="Y50" s="137"/>
      <c r="Z50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0" s="63"/>
      <c r="AB50" s="101" t="e">
        <f t="shared" si="4"/>
        <v>#N/A</v>
      </c>
      <c r="AC50" s="60">
        <v>1</v>
      </c>
      <c r="AD50" s="51">
        <f t="shared" si="5"/>
        <v>0</v>
      </c>
      <c r="AE50" s="56">
        <f t="shared" si="6"/>
        <v>0</v>
      </c>
      <c r="AF50" s="56">
        <f t="shared" si="7"/>
        <v>0</v>
      </c>
      <c r="AG50" s="56">
        <f t="shared" si="8"/>
        <v>0</v>
      </c>
      <c r="AH50" s="89">
        <f t="shared" si="9"/>
        <v>219.39310229205779</v>
      </c>
      <c r="AI50" s="90" t="e">
        <f>VLOOKUP(Q50,Dados!$T$4:$U$19,2,FALSE)</f>
        <v>#N/A</v>
      </c>
      <c r="AJ50" s="91">
        <v>1</v>
      </c>
    </row>
    <row r="51" spans="1:36" customFormat="1">
      <c r="A51" s="52"/>
      <c r="B51" s="52"/>
      <c r="C51" s="52" t="s">
        <v>134</v>
      </c>
      <c r="D51" s="52"/>
      <c r="E51" s="53"/>
      <c r="F51" s="53"/>
      <c r="G51" s="53" t="s">
        <v>137</v>
      </c>
      <c r="H51" s="53"/>
      <c r="I51" s="54"/>
      <c r="J51" s="55">
        <f t="shared" si="0"/>
        <v>0</v>
      </c>
      <c r="K51" s="56">
        <v>0.92</v>
      </c>
      <c r="L51" s="57">
        <f t="shared" si="1"/>
        <v>0</v>
      </c>
      <c r="M51" s="57">
        <f t="shared" si="2"/>
        <v>0</v>
      </c>
      <c r="N51" s="57">
        <f t="shared" si="3"/>
        <v>0</v>
      </c>
      <c r="O51" s="56"/>
      <c r="P51" s="56" t="s">
        <v>138</v>
      </c>
      <c r="Q51" s="56" t="e">
        <f>IF(R51="PVC",VLOOKUP(O51,Dados!C$3:D$19,2),IF(R51="EPR",VLOOKUP(O51,Dados!C$22:D$38,2)))</f>
        <v>#N/A</v>
      </c>
      <c r="R51" s="56" t="s">
        <v>139</v>
      </c>
      <c r="S51" s="51">
        <f t="shared" si="10"/>
        <v>0</v>
      </c>
      <c r="T51" s="56" t="e">
        <f>IF(R51="PVC",VLOOKUP(Q51,Dados!L$3:M$18,2),IF(R51="EPR",VLOOKUP(Q51,Dados!L$3:N$18,3)))</f>
        <v>#N/A</v>
      </c>
      <c r="U51" s="143" t="s">
        <v>140</v>
      </c>
      <c r="V51" s="62"/>
      <c r="W51" s="145"/>
      <c r="X51" s="140"/>
      <c r="Y51" s="137"/>
      <c r="Z51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1" s="63"/>
      <c r="AB51" s="101" t="e">
        <f t="shared" si="4"/>
        <v>#N/A</v>
      </c>
      <c r="AC51" s="60">
        <v>1</v>
      </c>
      <c r="AD51" s="51">
        <f t="shared" si="5"/>
        <v>0</v>
      </c>
      <c r="AE51" s="56">
        <f t="shared" si="6"/>
        <v>0</v>
      </c>
      <c r="AF51" s="56">
        <f t="shared" si="7"/>
        <v>0</v>
      </c>
      <c r="AG51" s="56">
        <f t="shared" si="8"/>
        <v>0</v>
      </c>
      <c r="AH51" s="89">
        <f t="shared" si="9"/>
        <v>219.39310229205779</v>
      </c>
      <c r="AI51" s="90" t="e">
        <f>VLOOKUP(Q51,Dados!$T$4:$U$19,2,FALSE)</f>
        <v>#N/A</v>
      </c>
      <c r="AJ51" s="91">
        <v>1</v>
      </c>
    </row>
    <row r="52" spans="1:36" customFormat="1">
      <c r="A52" s="61" t="s">
        <v>134</v>
      </c>
      <c r="B52" s="52"/>
      <c r="C52" s="52"/>
      <c r="D52" s="52"/>
      <c r="E52" s="53"/>
      <c r="F52" s="53"/>
      <c r="G52" s="53" t="s">
        <v>137</v>
      </c>
      <c r="H52" s="53"/>
      <c r="I52" s="54"/>
      <c r="J52" s="55">
        <f t="shared" si="0"/>
        <v>0</v>
      </c>
      <c r="K52" s="56">
        <v>0.92</v>
      </c>
      <c r="L52" s="57">
        <f t="shared" si="1"/>
        <v>0</v>
      </c>
      <c r="M52" s="57">
        <f t="shared" si="2"/>
        <v>0</v>
      </c>
      <c r="N52" s="57">
        <f t="shared" si="3"/>
        <v>0</v>
      </c>
      <c r="O52" s="56"/>
      <c r="P52" s="56" t="s">
        <v>138</v>
      </c>
      <c r="Q52" s="56" t="e">
        <f>IF(R52="PVC",VLOOKUP(O52,Dados!C$3:D$19,2),IF(R52="EPR",VLOOKUP(O52,Dados!C$22:D$38,2)))</f>
        <v>#N/A</v>
      </c>
      <c r="R52" s="56" t="s">
        <v>139</v>
      </c>
      <c r="S52" s="51">
        <f t="shared" si="10"/>
        <v>0</v>
      </c>
      <c r="T52" s="56" t="e">
        <f>IF(R52="PVC",VLOOKUP(Q52,Dados!L$3:M$18,2),IF(R52="EPR",VLOOKUP(Q52,Dados!L$3:N$18,3)))</f>
        <v>#N/A</v>
      </c>
      <c r="U52" s="143" t="s">
        <v>140</v>
      </c>
      <c r="V52" s="62"/>
      <c r="W52" s="145"/>
      <c r="X52" s="140"/>
      <c r="Y52" s="137"/>
      <c r="Z52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2" s="63"/>
      <c r="AB52" s="101" t="e">
        <f t="shared" si="4"/>
        <v>#N/A</v>
      </c>
      <c r="AC52" s="60">
        <v>1</v>
      </c>
      <c r="AD52" s="51">
        <f t="shared" si="5"/>
        <v>0</v>
      </c>
      <c r="AE52" s="56">
        <f t="shared" si="6"/>
        <v>0</v>
      </c>
      <c r="AF52" s="56">
        <f t="shared" si="7"/>
        <v>0</v>
      </c>
      <c r="AG52" s="56">
        <f t="shared" si="8"/>
        <v>0</v>
      </c>
      <c r="AH52" s="89">
        <f t="shared" si="9"/>
        <v>219.39310229205779</v>
      </c>
      <c r="AI52" s="90" t="e">
        <f>VLOOKUP(Q52,Dados!$T$4:$U$19,2,FALSE)</f>
        <v>#N/A</v>
      </c>
      <c r="AJ52" s="91">
        <v>1</v>
      </c>
    </row>
    <row r="53" spans="1:36" customFormat="1">
      <c r="A53" s="52"/>
      <c r="B53" s="52" t="s">
        <v>134</v>
      </c>
      <c r="C53" s="52"/>
      <c r="D53" s="52"/>
      <c r="E53" s="53"/>
      <c r="F53" s="53"/>
      <c r="G53" s="53" t="s">
        <v>137</v>
      </c>
      <c r="H53" s="53"/>
      <c r="I53" s="54"/>
      <c r="J53" s="55">
        <f t="shared" si="0"/>
        <v>0</v>
      </c>
      <c r="K53" s="56">
        <v>0.92</v>
      </c>
      <c r="L53" s="57">
        <f t="shared" si="1"/>
        <v>0</v>
      </c>
      <c r="M53" s="57">
        <f t="shared" si="2"/>
        <v>0</v>
      </c>
      <c r="N53" s="57">
        <f t="shared" si="3"/>
        <v>0</v>
      </c>
      <c r="O53" s="56"/>
      <c r="P53" s="56" t="s">
        <v>138</v>
      </c>
      <c r="Q53" s="56" t="e">
        <f>IF(R53="PVC",VLOOKUP(O53,Dados!C$3:D$19,2),IF(R53="EPR",VLOOKUP(O53,Dados!C$22:D$38,2)))</f>
        <v>#N/A</v>
      </c>
      <c r="R53" s="56" t="s">
        <v>139</v>
      </c>
      <c r="S53" s="51">
        <f t="shared" si="10"/>
        <v>0</v>
      </c>
      <c r="T53" s="56" t="e">
        <f>IF(R53="PVC",VLOOKUP(Q53,Dados!L$3:M$18,2),IF(R53="EPR",VLOOKUP(Q53,Dados!L$3:N$18,3)))</f>
        <v>#N/A</v>
      </c>
      <c r="U53" s="143" t="s">
        <v>140</v>
      </c>
      <c r="V53" s="62"/>
      <c r="W53" s="145"/>
      <c r="X53" s="140"/>
      <c r="Y53" s="137"/>
      <c r="Z53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3" s="63"/>
      <c r="AB53" s="101" t="e">
        <f t="shared" si="4"/>
        <v>#N/A</v>
      </c>
      <c r="AC53" s="60">
        <v>1</v>
      </c>
      <c r="AD53" s="51">
        <f t="shared" si="5"/>
        <v>0</v>
      </c>
      <c r="AE53" s="56">
        <f t="shared" si="6"/>
        <v>0</v>
      </c>
      <c r="AF53" s="56">
        <f t="shared" si="7"/>
        <v>0</v>
      </c>
      <c r="AG53" s="56">
        <f t="shared" si="8"/>
        <v>0</v>
      </c>
      <c r="AH53" s="89">
        <f t="shared" si="9"/>
        <v>219.39310229205779</v>
      </c>
      <c r="AI53" s="90" t="e">
        <f>VLOOKUP(Q53,Dados!$T$4:$U$19,2,FALSE)</f>
        <v>#N/A</v>
      </c>
      <c r="AJ53" s="91">
        <v>1</v>
      </c>
    </row>
    <row r="54" spans="1:36" customFormat="1">
      <c r="A54" s="52"/>
      <c r="B54" s="52"/>
      <c r="C54" s="52" t="s">
        <v>134</v>
      </c>
      <c r="D54" s="52"/>
      <c r="E54" s="53"/>
      <c r="F54" s="53"/>
      <c r="G54" s="53" t="s">
        <v>137</v>
      </c>
      <c r="H54" s="53"/>
      <c r="I54" s="54"/>
      <c r="J54" s="55">
        <f t="shared" si="0"/>
        <v>0</v>
      </c>
      <c r="K54" s="56">
        <v>0.92</v>
      </c>
      <c r="L54" s="57">
        <f t="shared" si="1"/>
        <v>0</v>
      </c>
      <c r="M54" s="57">
        <f t="shared" si="2"/>
        <v>0</v>
      </c>
      <c r="N54" s="57">
        <f t="shared" si="3"/>
        <v>0</v>
      </c>
      <c r="O54" s="56"/>
      <c r="P54" s="56" t="s">
        <v>138</v>
      </c>
      <c r="Q54" s="56" t="e">
        <f>IF(R54="PVC",VLOOKUP(O54,Dados!C$3:D$19,2),IF(R54="EPR",VLOOKUP(O54,Dados!C$22:D$38,2)))</f>
        <v>#N/A</v>
      </c>
      <c r="R54" s="56" t="s">
        <v>139</v>
      </c>
      <c r="S54" s="51">
        <f t="shared" si="10"/>
        <v>0</v>
      </c>
      <c r="T54" s="56" t="e">
        <f>IF(R54="PVC",VLOOKUP(Q54,Dados!L$3:M$18,2),IF(R54="EPR",VLOOKUP(Q54,Dados!L$3:N$18,3)))</f>
        <v>#N/A</v>
      </c>
      <c r="U54" s="143" t="s">
        <v>140</v>
      </c>
      <c r="V54" s="62"/>
      <c r="W54" s="145"/>
      <c r="X54" s="140"/>
      <c r="Y54" s="137"/>
      <c r="Z54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4" s="63"/>
      <c r="AB54" s="101" t="e">
        <f t="shared" si="4"/>
        <v>#N/A</v>
      </c>
      <c r="AC54" s="60">
        <v>1</v>
      </c>
      <c r="AD54" s="51">
        <f t="shared" si="5"/>
        <v>0</v>
      </c>
      <c r="AE54" s="56">
        <f t="shared" si="6"/>
        <v>0</v>
      </c>
      <c r="AF54" s="56">
        <f t="shared" si="7"/>
        <v>0</v>
      </c>
      <c r="AG54" s="56">
        <f t="shared" si="8"/>
        <v>0</v>
      </c>
      <c r="AH54" s="89">
        <f t="shared" si="9"/>
        <v>219.39310229205779</v>
      </c>
      <c r="AI54" s="90" t="e">
        <f>VLOOKUP(Q54,Dados!$T$4:$U$19,2,FALSE)</f>
        <v>#N/A</v>
      </c>
      <c r="AJ54" s="91">
        <v>1</v>
      </c>
    </row>
    <row r="55" spans="1:36" customFormat="1">
      <c r="A55" s="52" t="s">
        <v>134</v>
      </c>
      <c r="B55" s="52"/>
      <c r="C55" s="52"/>
      <c r="D55" s="52"/>
      <c r="E55" s="53"/>
      <c r="F55" s="53"/>
      <c r="G55" s="53" t="s">
        <v>137</v>
      </c>
      <c r="H55" s="53"/>
      <c r="I55" s="54"/>
      <c r="J55" s="55">
        <f t="shared" si="0"/>
        <v>0</v>
      </c>
      <c r="K55" s="56">
        <v>0.92</v>
      </c>
      <c r="L55" s="57">
        <f t="shared" si="1"/>
        <v>0</v>
      </c>
      <c r="M55" s="57">
        <f t="shared" si="2"/>
        <v>0</v>
      </c>
      <c r="N55" s="57">
        <f t="shared" si="3"/>
        <v>0</v>
      </c>
      <c r="O55" s="56"/>
      <c r="P55" s="56" t="s">
        <v>138</v>
      </c>
      <c r="Q55" s="56" t="e">
        <f>IF(R55="PVC",VLOOKUP(O55,Dados!C$3:D$19,2),IF(R55="EPR",VLOOKUP(O55,Dados!C$22:D$38,2)))</f>
        <v>#N/A</v>
      </c>
      <c r="R55" s="56" t="s">
        <v>139</v>
      </c>
      <c r="S55" s="51">
        <f t="shared" si="10"/>
        <v>0</v>
      </c>
      <c r="T55" s="56" t="e">
        <f>IF(R55="PVC",VLOOKUP(Q55,Dados!L$3:M$18,2),IF(R55="EPR",VLOOKUP(Q55,Dados!L$3:N$18,3)))</f>
        <v>#N/A</v>
      </c>
      <c r="U55" s="143" t="s">
        <v>140</v>
      </c>
      <c r="V55" s="62"/>
      <c r="W55" s="145"/>
      <c r="X55" s="140"/>
      <c r="Y55" s="137"/>
      <c r="Z55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5" s="63"/>
      <c r="AB55" s="101" t="e">
        <f t="shared" si="4"/>
        <v>#N/A</v>
      </c>
      <c r="AC55" s="60">
        <v>1</v>
      </c>
      <c r="AD55" s="51">
        <f t="shared" si="5"/>
        <v>0</v>
      </c>
      <c r="AE55" s="56">
        <f t="shared" si="6"/>
        <v>0</v>
      </c>
      <c r="AF55" s="56">
        <f t="shared" si="7"/>
        <v>0</v>
      </c>
      <c r="AG55" s="56">
        <f t="shared" si="8"/>
        <v>0</v>
      </c>
      <c r="AH55" s="89">
        <f t="shared" si="9"/>
        <v>219.39310229205779</v>
      </c>
      <c r="AI55" s="90" t="e">
        <f>VLOOKUP(Q55,Dados!$T$4:$U$19,2,FALSE)</f>
        <v>#N/A</v>
      </c>
      <c r="AJ55" s="91">
        <v>1</v>
      </c>
    </row>
    <row r="56" spans="1:36" customFormat="1">
      <c r="A56" s="61"/>
      <c r="B56" s="52" t="s">
        <v>134</v>
      </c>
      <c r="C56" s="52"/>
      <c r="D56" s="52"/>
      <c r="E56" s="53"/>
      <c r="F56" s="53"/>
      <c r="G56" s="53" t="s">
        <v>137</v>
      </c>
      <c r="H56" s="53"/>
      <c r="I56" s="54"/>
      <c r="J56" s="55">
        <f t="shared" si="0"/>
        <v>0</v>
      </c>
      <c r="K56" s="56">
        <v>0.92</v>
      </c>
      <c r="L56" s="57">
        <f t="shared" si="1"/>
        <v>0</v>
      </c>
      <c r="M56" s="57">
        <f t="shared" si="2"/>
        <v>0</v>
      </c>
      <c r="N56" s="57">
        <f t="shared" si="3"/>
        <v>0</v>
      </c>
      <c r="O56" s="56"/>
      <c r="P56" s="56" t="s">
        <v>138</v>
      </c>
      <c r="Q56" s="56" t="e">
        <f>IF(R56="PVC",VLOOKUP(O56,Dados!C$3:D$19,2),IF(R56="EPR",VLOOKUP(O56,Dados!C$22:D$38,2)))</f>
        <v>#N/A</v>
      </c>
      <c r="R56" s="56" t="s">
        <v>139</v>
      </c>
      <c r="S56" s="51">
        <f t="shared" si="10"/>
        <v>0</v>
      </c>
      <c r="T56" s="56" t="e">
        <f>IF(R56="PVC",VLOOKUP(Q56,Dados!L$3:M$18,2),IF(R56="EPR",VLOOKUP(Q56,Dados!L$3:N$18,3)))</f>
        <v>#N/A</v>
      </c>
      <c r="U56" s="143" t="s">
        <v>140</v>
      </c>
      <c r="V56" s="62"/>
      <c r="W56" s="145"/>
      <c r="X56" s="140"/>
      <c r="Y56" s="137"/>
      <c r="Z56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6" s="63"/>
      <c r="AB56" s="101" t="e">
        <f t="shared" si="4"/>
        <v>#N/A</v>
      </c>
      <c r="AC56" s="60">
        <v>1</v>
      </c>
      <c r="AD56" s="51">
        <f t="shared" si="5"/>
        <v>0</v>
      </c>
      <c r="AE56" s="56">
        <f t="shared" si="6"/>
        <v>0</v>
      </c>
      <c r="AF56" s="56">
        <f t="shared" si="7"/>
        <v>0</v>
      </c>
      <c r="AG56" s="56">
        <f t="shared" si="8"/>
        <v>0</v>
      </c>
      <c r="AH56" s="89">
        <f t="shared" si="9"/>
        <v>219.39310229205779</v>
      </c>
      <c r="AI56" s="90" t="e">
        <f>VLOOKUP(Q56,Dados!$T$4:$U$19,2,FALSE)</f>
        <v>#N/A</v>
      </c>
      <c r="AJ56" s="91">
        <v>1</v>
      </c>
    </row>
    <row r="57" spans="1:36" customFormat="1">
      <c r="A57" s="52"/>
      <c r="B57" s="52"/>
      <c r="C57" s="52" t="s">
        <v>134</v>
      </c>
      <c r="D57" s="52"/>
      <c r="E57" s="53"/>
      <c r="F57" s="53"/>
      <c r="G57" s="53" t="s">
        <v>137</v>
      </c>
      <c r="H57" s="53"/>
      <c r="I57" s="54"/>
      <c r="J57" s="55">
        <f t="shared" si="0"/>
        <v>0</v>
      </c>
      <c r="K57" s="56">
        <v>0.92</v>
      </c>
      <c r="L57" s="57">
        <f t="shared" si="1"/>
        <v>0</v>
      </c>
      <c r="M57" s="57">
        <f t="shared" si="2"/>
        <v>0</v>
      </c>
      <c r="N57" s="57">
        <f t="shared" si="3"/>
        <v>0</v>
      </c>
      <c r="O57" s="56"/>
      <c r="P57" s="56" t="s">
        <v>138</v>
      </c>
      <c r="Q57" s="56" t="e">
        <f>IF(R57="PVC",VLOOKUP(O57,Dados!C$3:D$19,2),IF(R57="EPR",VLOOKUP(O57,Dados!C$22:D$38,2)))</f>
        <v>#N/A</v>
      </c>
      <c r="R57" s="56" t="s">
        <v>139</v>
      </c>
      <c r="S57" s="51">
        <f t="shared" si="10"/>
        <v>0</v>
      </c>
      <c r="T57" s="56" t="e">
        <f>IF(R57="PVC",VLOOKUP(Q57,Dados!L$3:M$18,2),IF(R57="EPR",VLOOKUP(Q57,Dados!L$3:N$18,3)))</f>
        <v>#N/A</v>
      </c>
      <c r="U57" s="143" t="s">
        <v>140</v>
      </c>
      <c r="V57" s="62"/>
      <c r="W57" s="145"/>
      <c r="X57" s="140"/>
      <c r="Y57" s="137"/>
      <c r="Z57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7" s="63"/>
      <c r="AB57" s="101" t="e">
        <f t="shared" si="4"/>
        <v>#N/A</v>
      </c>
      <c r="AC57" s="60">
        <v>1</v>
      </c>
      <c r="AD57" s="51">
        <f t="shared" si="5"/>
        <v>0</v>
      </c>
      <c r="AE57" s="56">
        <f t="shared" si="6"/>
        <v>0</v>
      </c>
      <c r="AF57" s="56">
        <f t="shared" si="7"/>
        <v>0</v>
      </c>
      <c r="AG57" s="56">
        <f t="shared" si="8"/>
        <v>0</v>
      </c>
      <c r="AH57" s="89">
        <f t="shared" si="9"/>
        <v>219.39310229205779</v>
      </c>
      <c r="AI57" s="90" t="e">
        <f>VLOOKUP(Q57,Dados!$T$4:$U$19,2,FALSE)</f>
        <v>#N/A</v>
      </c>
      <c r="AJ57" s="91">
        <v>1</v>
      </c>
    </row>
    <row r="58" spans="1:36" customFormat="1">
      <c r="A58" s="61" t="s">
        <v>134</v>
      </c>
      <c r="B58" s="52"/>
      <c r="C58" s="52"/>
      <c r="D58" s="52"/>
      <c r="E58" s="53"/>
      <c r="F58" s="53"/>
      <c r="G58" s="53" t="s">
        <v>137</v>
      </c>
      <c r="H58" s="53"/>
      <c r="I58" s="54"/>
      <c r="J58" s="55">
        <f t="shared" si="0"/>
        <v>0</v>
      </c>
      <c r="K58" s="56">
        <v>0.92</v>
      </c>
      <c r="L58" s="57">
        <f t="shared" si="1"/>
        <v>0</v>
      </c>
      <c r="M58" s="57">
        <f t="shared" si="2"/>
        <v>0</v>
      </c>
      <c r="N58" s="57">
        <f t="shared" si="3"/>
        <v>0</v>
      </c>
      <c r="O58" s="56"/>
      <c r="P58" s="56" t="s">
        <v>138</v>
      </c>
      <c r="Q58" s="56" t="e">
        <f>IF(R58="PVC",VLOOKUP(O58,Dados!C$3:D$19,2),IF(R58="EPR",VLOOKUP(O58,Dados!C$22:D$38,2)))</f>
        <v>#N/A</v>
      </c>
      <c r="R58" s="56" t="s">
        <v>139</v>
      </c>
      <c r="S58" s="51">
        <f t="shared" si="10"/>
        <v>0</v>
      </c>
      <c r="T58" s="56" t="e">
        <f>IF(R58="PVC",VLOOKUP(Q58,Dados!L$3:M$18,2),IF(R58="EPR",VLOOKUP(Q58,Dados!L$3:N$18,3)))</f>
        <v>#N/A</v>
      </c>
      <c r="U58" s="143" t="s">
        <v>140</v>
      </c>
      <c r="V58" s="62"/>
      <c r="W58" s="145"/>
      <c r="X58" s="140"/>
      <c r="Y58" s="137"/>
      <c r="Z58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8" s="63"/>
      <c r="AB58" s="101" t="e">
        <f t="shared" si="4"/>
        <v>#N/A</v>
      </c>
      <c r="AC58" s="60">
        <v>1</v>
      </c>
      <c r="AD58" s="51">
        <f t="shared" si="5"/>
        <v>0</v>
      </c>
      <c r="AE58" s="56">
        <f t="shared" si="6"/>
        <v>0</v>
      </c>
      <c r="AF58" s="56">
        <f t="shared" si="7"/>
        <v>0</v>
      </c>
      <c r="AG58" s="56">
        <f t="shared" si="8"/>
        <v>0</v>
      </c>
      <c r="AH58" s="89">
        <f t="shared" si="9"/>
        <v>219.39310229205779</v>
      </c>
      <c r="AI58" s="90" t="e">
        <f>VLOOKUP(Q58,Dados!$T$4:$U$19,2,FALSE)</f>
        <v>#N/A</v>
      </c>
      <c r="AJ58" s="91">
        <v>1</v>
      </c>
    </row>
    <row r="59" spans="1:36" customFormat="1">
      <c r="A59" s="52"/>
      <c r="B59" s="52" t="s">
        <v>134</v>
      </c>
      <c r="C59" s="52"/>
      <c r="D59" s="52"/>
      <c r="E59" s="53"/>
      <c r="F59" s="53"/>
      <c r="G59" s="53" t="s">
        <v>137</v>
      </c>
      <c r="H59" s="53"/>
      <c r="I59" s="54"/>
      <c r="J59" s="55">
        <f t="shared" si="0"/>
        <v>0</v>
      </c>
      <c r="K59" s="56">
        <v>0.92</v>
      </c>
      <c r="L59" s="57">
        <f t="shared" si="1"/>
        <v>0</v>
      </c>
      <c r="M59" s="57">
        <f t="shared" si="2"/>
        <v>0</v>
      </c>
      <c r="N59" s="57">
        <f t="shared" si="3"/>
        <v>0</v>
      </c>
      <c r="O59" s="56"/>
      <c r="P59" s="56" t="s">
        <v>138</v>
      </c>
      <c r="Q59" s="56" t="e">
        <f>IF(R59="PVC",VLOOKUP(O59,Dados!C$3:D$19,2),IF(R59="EPR",VLOOKUP(O59,Dados!C$22:D$38,2)))</f>
        <v>#N/A</v>
      </c>
      <c r="R59" s="56" t="s">
        <v>139</v>
      </c>
      <c r="S59" s="51">
        <f t="shared" si="10"/>
        <v>0</v>
      </c>
      <c r="T59" s="56" t="e">
        <f>IF(R59="PVC",VLOOKUP(Q59,Dados!L$3:M$18,2),IF(R59="EPR",VLOOKUP(Q59,Dados!L$3:N$18,3)))</f>
        <v>#N/A</v>
      </c>
      <c r="U59" s="143" t="s">
        <v>140</v>
      </c>
      <c r="V59" s="62"/>
      <c r="W59" s="145"/>
      <c r="X59" s="140"/>
      <c r="Y59" s="137"/>
      <c r="Z59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59" s="63"/>
      <c r="AB59" s="101" t="e">
        <f t="shared" si="4"/>
        <v>#N/A</v>
      </c>
      <c r="AC59" s="60">
        <v>1</v>
      </c>
      <c r="AD59" s="51">
        <f t="shared" si="5"/>
        <v>0</v>
      </c>
      <c r="AE59" s="56">
        <f t="shared" si="6"/>
        <v>0</v>
      </c>
      <c r="AF59" s="56">
        <f t="shared" si="7"/>
        <v>0</v>
      </c>
      <c r="AG59" s="56">
        <f t="shared" si="8"/>
        <v>0</v>
      </c>
      <c r="AH59" s="89">
        <f t="shared" si="9"/>
        <v>219.39310229205779</v>
      </c>
      <c r="AI59" s="90" t="e">
        <f>VLOOKUP(Q59,Dados!$T$4:$U$19,2,FALSE)</f>
        <v>#N/A</v>
      </c>
      <c r="AJ59" s="91">
        <v>1</v>
      </c>
    </row>
    <row r="60" spans="1:36" customFormat="1">
      <c r="A60" s="52"/>
      <c r="B60" s="52"/>
      <c r="C60" s="52" t="s">
        <v>134</v>
      </c>
      <c r="D60" s="52"/>
      <c r="E60" s="53"/>
      <c r="F60" s="53"/>
      <c r="G60" s="53" t="s">
        <v>137</v>
      </c>
      <c r="H60" s="53"/>
      <c r="I60" s="54"/>
      <c r="J60" s="55">
        <f t="shared" si="0"/>
        <v>0</v>
      </c>
      <c r="K60" s="56">
        <v>0.92</v>
      </c>
      <c r="L60" s="57">
        <f t="shared" si="1"/>
        <v>0</v>
      </c>
      <c r="M60" s="57">
        <f t="shared" si="2"/>
        <v>0</v>
      </c>
      <c r="N60" s="57">
        <f t="shared" si="3"/>
        <v>0</v>
      </c>
      <c r="O60" s="56"/>
      <c r="P60" s="56" t="s">
        <v>138</v>
      </c>
      <c r="Q60" s="56" t="e">
        <f>IF(R60="PVC",VLOOKUP(O60,Dados!C$3:D$19,2),IF(R60="EPR",VLOOKUP(O60,Dados!C$22:D$38,2)))</f>
        <v>#N/A</v>
      </c>
      <c r="R60" s="56" t="s">
        <v>139</v>
      </c>
      <c r="S60" s="51">
        <f t="shared" si="10"/>
        <v>0</v>
      </c>
      <c r="T60" s="56" t="e">
        <f>IF(R60="PVC",VLOOKUP(Q60,Dados!L$3:M$18,2),IF(R60="EPR",VLOOKUP(Q60,Dados!L$3:N$18,3)))</f>
        <v>#N/A</v>
      </c>
      <c r="U60" s="143" t="s">
        <v>140</v>
      </c>
      <c r="V60" s="62"/>
      <c r="W60" s="145"/>
      <c r="X60" s="140"/>
      <c r="Y60" s="137"/>
      <c r="Z60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0" s="63"/>
      <c r="AB60" s="101" t="e">
        <f t="shared" si="4"/>
        <v>#N/A</v>
      </c>
      <c r="AC60" s="60">
        <v>1</v>
      </c>
      <c r="AD60" s="51">
        <f t="shared" si="5"/>
        <v>0</v>
      </c>
      <c r="AE60" s="56">
        <f t="shared" si="6"/>
        <v>0</v>
      </c>
      <c r="AF60" s="56">
        <f t="shared" si="7"/>
        <v>0</v>
      </c>
      <c r="AG60" s="56">
        <f t="shared" si="8"/>
        <v>0</v>
      </c>
      <c r="AH60" s="89">
        <f t="shared" si="9"/>
        <v>219.39310229205779</v>
      </c>
      <c r="AI60" s="90" t="e">
        <f>VLOOKUP(Q60,Dados!$T$4:$U$19,2,FALSE)</f>
        <v>#N/A</v>
      </c>
      <c r="AJ60" s="91">
        <v>1</v>
      </c>
    </row>
    <row r="61" spans="1:36" customFormat="1">
      <c r="A61" s="52" t="s">
        <v>134</v>
      </c>
      <c r="B61" s="52"/>
      <c r="C61" s="52"/>
      <c r="D61" s="52"/>
      <c r="E61" s="53"/>
      <c r="F61" s="53"/>
      <c r="G61" s="53" t="s">
        <v>137</v>
      </c>
      <c r="H61" s="53"/>
      <c r="I61" s="54"/>
      <c r="J61" s="55">
        <f t="shared" si="0"/>
        <v>0</v>
      </c>
      <c r="K61" s="56">
        <v>0.92</v>
      </c>
      <c r="L61" s="57">
        <f t="shared" si="1"/>
        <v>0</v>
      </c>
      <c r="M61" s="57">
        <f t="shared" si="2"/>
        <v>0</v>
      </c>
      <c r="N61" s="57">
        <f t="shared" si="3"/>
        <v>0</v>
      </c>
      <c r="O61" s="56"/>
      <c r="P61" s="56" t="s">
        <v>138</v>
      </c>
      <c r="Q61" s="56" t="e">
        <f>IF(R61="PVC",VLOOKUP(O61,Dados!C$3:D$19,2),IF(R61="EPR",VLOOKUP(O61,Dados!C$22:D$38,2)))</f>
        <v>#N/A</v>
      </c>
      <c r="R61" s="56" t="s">
        <v>139</v>
      </c>
      <c r="S61" s="51">
        <f t="shared" si="10"/>
        <v>0</v>
      </c>
      <c r="T61" s="56" t="e">
        <f>IF(R61="PVC",VLOOKUP(Q61,Dados!L$3:M$18,2),IF(R61="EPR",VLOOKUP(Q61,Dados!L$3:N$18,3)))</f>
        <v>#N/A</v>
      </c>
      <c r="U61" s="143" t="s">
        <v>140</v>
      </c>
      <c r="V61" s="62"/>
      <c r="W61" s="145"/>
      <c r="X61" s="140"/>
      <c r="Y61" s="137"/>
      <c r="Z61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1" s="63"/>
      <c r="AB61" s="101" t="e">
        <f t="shared" si="4"/>
        <v>#N/A</v>
      </c>
      <c r="AC61" s="60">
        <v>1</v>
      </c>
      <c r="AD61" s="51">
        <f t="shared" si="5"/>
        <v>0</v>
      </c>
      <c r="AE61" s="56">
        <f t="shared" si="6"/>
        <v>0</v>
      </c>
      <c r="AF61" s="56">
        <f t="shared" si="7"/>
        <v>0</v>
      </c>
      <c r="AG61" s="56">
        <f t="shared" si="8"/>
        <v>0</v>
      </c>
      <c r="AH61" s="89">
        <f t="shared" si="9"/>
        <v>219.39310229205779</v>
      </c>
      <c r="AI61" s="90" t="e">
        <f>VLOOKUP(Q61,Dados!$T$4:$U$19,2,FALSE)</f>
        <v>#N/A</v>
      </c>
      <c r="AJ61" s="91">
        <v>1</v>
      </c>
    </row>
    <row r="62" spans="1:36" customFormat="1">
      <c r="A62" s="61"/>
      <c r="B62" s="52" t="s">
        <v>134</v>
      </c>
      <c r="C62" s="52"/>
      <c r="D62" s="52"/>
      <c r="E62" s="53"/>
      <c r="F62" s="53"/>
      <c r="G62" s="53" t="s">
        <v>137</v>
      </c>
      <c r="H62" s="53"/>
      <c r="I62" s="54"/>
      <c r="J62" s="55">
        <f t="shared" si="0"/>
        <v>0</v>
      </c>
      <c r="K62" s="56">
        <v>0.92</v>
      </c>
      <c r="L62" s="57">
        <f t="shared" si="1"/>
        <v>0</v>
      </c>
      <c r="M62" s="57">
        <f t="shared" si="2"/>
        <v>0</v>
      </c>
      <c r="N62" s="57">
        <f t="shared" si="3"/>
        <v>0</v>
      </c>
      <c r="O62" s="56"/>
      <c r="P62" s="56" t="s">
        <v>138</v>
      </c>
      <c r="Q62" s="56" t="e">
        <f>IF(R62="PVC",VLOOKUP(O62,Dados!C$3:D$19,2),IF(R62="EPR",VLOOKUP(O62,Dados!C$22:D$38,2)))</f>
        <v>#N/A</v>
      </c>
      <c r="R62" s="56" t="s">
        <v>139</v>
      </c>
      <c r="S62" s="51">
        <f t="shared" si="10"/>
        <v>0</v>
      </c>
      <c r="T62" s="56" t="e">
        <f>IF(R62="PVC",VLOOKUP(Q62,Dados!L$3:M$18,2),IF(R62="EPR",VLOOKUP(Q62,Dados!L$3:N$18,3)))</f>
        <v>#N/A</v>
      </c>
      <c r="U62" s="143" t="s">
        <v>140</v>
      </c>
      <c r="V62" s="62"/>
      <c r="W62" s="145"/>
      <c r="X62" s="140"/>
      <c r="Y62" s="137"/>
      <c r="Z62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2" s="63"/>
      <c r="AB62" s="101" t="e">
        <f t="shared" si="4"/>
        <v>#N/A</v>
      </c>
      <c r="AC62" s="60">
        <v>1</v>
      </c>
      <c r="AD62" s="51">
        <f t="shared" si="5"/>
        <v>0</v>
      </c>
      <c r="AE62" s="56">
        <f t="shared" si="6"/>
        <v>0</v>
      </c>
      <c r="AF62" s="56">
        <f t="shared" si="7"/>
        <v>0</v>
      </c>
      <c r="AG62" s="56">
        <f t="shared" si="8"/>
        <v>0</v>
      </c>
      <c r="AH62" s="89">
        <f t="shared" si="9"/>
        <v>219.39310229205779</v>
      </c>
      <c r="AI62" s="90" t="e">
        <f>VLOOKUP(Q62,Dados!$T$4:$U$19,2,FALSE)</f>
        <v>#N/A</v>
      </c>
      <c r="AJ62" s="91">
        <v>1</v>
      </c>
    </row>
    <row r="63" spans="1:36" customFormat="1">
      <c r="A63" s="52"/>
      <c r="B63" s="52"/>
      <c r="C63" s="52" t="s">
        <v>134</v>
      </c>
      <c r="D63" s="52"/>
      <c r="E63" s="53"/>
      <c r="F63" s="53"/>
      <c r="G63" s="53" t="s">
        <v>137</v>
      </c>
      <c r="H63" s="53"/>
      <c r="I63" s="54"/>
      <c r="J63" s="55">
        <f t="shared" si="0"/>
        <v>0</v>
      </c>
      <c r="K63" s="56">
        <v>0.92</v>
      </c>
      <c r="L63" s="57">
        <f t="shared" si="1"/>
        <v>0</v>
      </c>
      <c r="M63" s="57">
        <f t="shared" si="2"/>
        <v>0</v>
      </c>
      <c r="N63" s="57">
        <f t="shared" si="3"/>
        <v>0</v>
      </c>
      <c r="O63" s="56"/>
      <c r="P63" s="56" t="s">
        <v>138</v>
      </c>
      <c r="Q63" s="56" t="e">
        <f>IF(R63="PVC",VLOOKUP(O63,Dados!C$3:D$19,2),IF(R63="EPR",VLOOKUP(O63,Dados!C$22:D$38,2)))</f>
        <v>#N/A</v>
      </c>
      <c r="R63" s="56" t="s">
        <v>139</v>
      </c>
      <c r="S63" s="51">
        <f t="shared" si="10"/>
        <v>0</v>
      </c>
      <c r="T63" s="56" t="e">
        <f>IF(R63="PVC",VLOOKUP(Q63,Dados!L$3:M$18,2),IF(R63="EPR",VLOOKUP(Q63,Dados!L$3:N$18,3)))</f>
        <v>#N/A</v>
      </c>
      <c r="U63" s="143" t="s">
        <v>140</v>
      </c>
      <c r="V63" s="62"/>
      <c r="W63" s="145"/>
      <c r="X63" s="140"/>
      <c r="Y63" s="137"/>
      <c r="Z63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3" s="63"/>
      <c r="AB63" s="101" t="e">
        <f t="shared" si="4"/>
        <v>#N/A</v>
      </c>
      <c r="AC63" s="60">
        <v>1</v>
      </c>
      <c r="AD63" s="51">
        <f t="shared" si="5"/>
        <v>0</v>
      </c>
      <c r="AE63" s="56">
        <f t="shared" si="6"/>
        <v>0</v>
      </c>
      <c r="AF63" s="56">
        <f t="shared" si="7"/>
        <v>0</v>
      </c>
      <c r="AG63" s="56">
        <f t="shared" si="8"/>
        <v>0</v>
      </c>
      <c r="AH63" s="89">
        <f t="shared" si="9"/>
        <v>219.39310229205779</v>
      </c>
      <c r="AI63" s="90" t="e">
        <f>VLOOKUP(Q63,Dados!$T$4:$U$19,2,FALSE)</f>
        <v>#N/A</v>
      </c>
      <c r="AJ63" s="91">
        <v>1</v>
      </c>
    </row>
    <row r="64" spans="1:36" customFormat="1">
      <c r="A64" s="61" t="s">
        <v>134</v>
      </c>
      <c r="B64" s="52"/>
      <c r="C64" s="52"/>
      <c r="D64" s="52"/>
      <c r="E64" s="53"/>
      <c r="F64" s="53"/>
      <c r="G64" s="53" t="s">
        <v>137</v>
      </c>
      <c r="H64" s="53"/>
      <c r="I64" s="54"/>
      <c r="J64" s="55">
        <f t="shared" si="0"/>
        <v>0</v>
      </c>
      <c r="K64" s="56">
        <v>0.92</v>
      </c>
      <c r="L64" s="57">
        <f t="shared" si="1"/>
        <v>0</v>
      </c>
      <c r="M64" s="57">
        <f t="shared" si="2"/>
        <v>0</v>
      </c>
      <c r="N64" s="57">
        <f t="shared" si="3"/>
        <v>0</v>
      </c>
      <c r="O64" s="56"/>
      <c r="P64" s="56" t="s">
        <v>138</v>
      </c>
      <c r="Q64" s="56" t="e">
        <f>IF(R64="PVC",VLOOKUP(O64,Dados!C$3:D$19,2),IF(R64="EPR",VLOOKUP(O64,Dados!C$22:D$38,2)))</f>
        <v>#N/A</v>
      </c>
      <c r="R64" s="56" t="s">
        <v>139</v>
      </c>
      <c r="S64" s="51">
        <f t="shared" si="10"/>
        <v>0</v>
      </c>
      <c r="T64" s="56" t="e">
        <f>IF(R64="PVC",VLOOKUP(Q64,Dados!L$3:M$18,2),IF(R64="EPR",VLOOKUP(Q64,Dados!L$3:N$18,3)))</f>
        <v>#N/A</v>
      </c>
      <c r="U64" s="143" t="s">
        <v>140</v>
      </c>
      <c r="V64" s="62"/>
      <c r="W64" s="145"/>
      <c r="X64" s="140"/>
      <c r="Y64" s="137"/>
      <c r="Z64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4" s="63"/>
      <c r="AB64" s="101" t="e">
        <f t="shared" si="4"/>
        <v>#N/A</v>
      </c>
      <c r="AC64" s="60">
        <v>1</v>
      </c>
      <c r="AD64" s="51">
        <f t="shared" si="5"/>
        <v>0</v>
      </c>
      <c r="AE64" s="56">
        <f t="shared" si="6"/>
        <v>0</v>
      </c>
      <c r="AF64" s="56">
        <f t="shared" si="7"/>
        <v>0</v>
      </c>
      <c r="AG64" s="56">
        <f t="shared" si="8"/>
        <v>0</v>
      </c>
      <c r="AH64" s="89">
        <f t="shared" si="9"/>
        <v>219.39310229205779</v>
      </c>
      <c r="AI64" s="90" t="e">
        <f>VLOOKUP(Q64,Dados!$T$4:$U$19,2,FALSE)</f>
        <v>#N/A</v>
      </c>
      <c r="AJ64" s="91">
        <v>1</v>
      </c>
    </row>
    <row r="65" spans="1:36" customFormat="1">
      <c r="A65" s="52"/>
      <c r="B65" s="52" t="s">
        <v>134</v>
      </c>
      <c r="C65" s="52"/>
      <c r="D65" s="52"/>
      <c r="E65" s="53"/>
      <c r="F65" s="53"/>
      <c r="G65" s="53" t="s">
        <v>137</v>
      </c>
      <c r="H65" s="53"/>
      <c r="I65" s="54"/>
      <c r="J65" s="55">
        <f t="shared" si="0"/>
        <v>0</v>
      </c>
      <c r="K65" s="56">
        <v>0.92</v>
      </c>
      <c r="L65" s="57">
        <f t="shared" si="1"/>
        <v>0</v>
      </c>
      <c r="M65" s="57">
        <f t="shared" si="2"/>
        <v>0</v>
      </c>
      <c r="N65" s="57">
        <f t="shared" si="3"/>
        <v>0</v>
      </c>
      <c r="O65" s="56"/>
      <c r="P65" s="56" t="s">
        <v>138</v>
      </c>
      <c r="Q65" s="56" t="e">
        <f>IF(R65="PVC",VLOOKUP(O65,Dados!C$3:D$19,2),IF(R65="EPR",VLOOKUP(O65,Dados!C$22:D$38,2)))</f>
        <v>#N/A</v>
      </c>
      <c r="R65" s="56" t="s">
        <v>139</v>
      </c>
      <c r="S65" s="51">
        <f t="shared" si="10"/>
        <v>0</v>
      </c>
      <c r="T65" s="56" t="e">
        <f>IF(R65="PVC",VLOOKUP(Q65,Dados!L$3:M$18,2),IF(R65="EPR",VLOOKUP(Q65,Dados!L$3:N$18,3)))</f>
        <v>#N/A</v>
      </c>
      <c r="U65" s="143" t="s">
        <v>140</v>
      </c>
      <c r="V65" s="62"/>
      <c r="W65" s="145"/>
      <c r="X65" s="140"/>
      <c r="Y65" s="137"/>
      <c r="Z65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5" s="63"/>
      <c r="AB65" s="101" t="e">
        <f t="shared" si="4"/>
        <v>#N/A</v>
      </c>
      <c r="AC65" s="60">
        <v>1</v>
      </c>
      <c r="AD65" s="51">
        <f t="shared" si="5"/>
        <v>0</v>
      </c>
      <c r="AE65" s="56">
        <f t="shared" si="6"/>
        <v>0</v>
      </c>
      <c r="AF65" s="56">
        <f t="shared" si="7"/>
        <v>0</v>
      </c>
      <c r="AG65" s="56">
        <f t="shared" si="8"/>
        <v>0</v>
      </c>
      <c r="AH65" s="89">
        <f t="shared" si="9"/>
        <v>219.39310229205779</v>
      </c>
      <c r="AI65" s="90" t="e">
        <f>VLOOKUP(Q65,Dados!$T$4:$U$19,2,FALSE)</f>
        <v>#N/A</v>
      </c>
      <c r="AJ65" s="91">
        <v>1</v>
      </c>
    </row>
    <row r="66" spans="1:36" customFormat="1">
      <c r="A66" s="52"/>
      <c r="B66" s="52"/>
      <c r="C66" s="52" t="s">
        <v>134</v>
      </c>
      <c r="D66" s="52"/>
      <c r="E66" s="53"/>
      <c r="F66" s="53"/>
      <c r="G66" s="53" t="s">
        <v>137</v>
      </c>
      <c r="H66" s="53"/>
      <c r="I66" s="54"/>
      <c r="J66" s="55">
        <f t="shared" si="0"/>
        <v>0</v>
      </c>
      <c r="K66" s="56">
        <v>0.92</v>
      </c>
      <c r="L66" s="57">
        <f t="shared" si="1"/>
        <v>0</v>
      </c>
      <c r="M66" s="57">
        <f t="shared" si="2"/>
        <v>0</v>
      </c>
      <c r="N66" s="57">
        <f t="shared" si="3"/>
        <v>0</v>
      </c>
      <c r="O66" s="56"/>
      <c r="P66" s="56" t="s">
        <v>138</v>
      </c>
      <c r="Q66" s="56" t="e">
        <f>IF(R66="PVC",VLOOKUP(O66,Dados!C$3:D$19,2),IF(R66="EPR",VLOOKUP(O66,Dados!C$22:D$38,2)))</f>
        <v>#N/A</v>
      </c>
      <c r="R66" s="56" t="s">
        <v>139</v>
      </c>
      <c r="S66" s="51">
        <f t="shared" si="10"/>
        <v>0</v>
      </c>
      <c r="T66" s="56" t="e">
        <f>IF(R66="PVC",VLOOKUP(Q66,Dados!L$3:M$18,2),IF(R66="EPR",VLOOKUP(Q66,Dados!L$3:N$18,3)))</f>
        <v>#N/A</v>
      </c>
      <c r="U66" s="143" t="s">
        <v>140</v>
      </c>
      <c r="V66" s="62"/>
      <c r="W66" s="145"/>
      <c r="X66" s="140"/>
      <c r="Y66" s="137"/>
      <c r="Z66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6" s="63"/>
      <c r="AB66" s="101" t="e">
        <f t="shared" si="4"/>
        <v>#N/A</v>
      </c>
      <c r="AC66" s="60">
        <v>1</v>
      </c>
      <c r="AD66" s="51">
        <f t="shared" si="5"/>
        <v>0</v>
      </c>
      <c r="AE66" s="56">
        <f t="shared" si="6"/>
        <v>0</v>
      </c>
      <c r="AF66" s="56">
        <f t="shared" si="7"/>
        <v>0</v>
      </c>
      <c r="AG66" s="56">
        <f t="shared" si="8"/>
        <v>0</v>
      </c>
      <c r="AH66" s="89">
        <f t="shared" si="9"/>
        <v>219.39310229205779</v>
      </c>
      <c r="AI66" s="90" t="e">
        <f>VLOOKUP(Q66,Dados!$T$4:$U$19,2,FALSE)</f>
        <v>#N/A</v>
      </c>
      <c r="AJ66" s="91">
        <v>1</v>
      </c>
    </row>
    <row r="67" spans="1:36" customFormat="1">
      <c r="A67" s="52" t="s">
        <v>134</v>
      </c>
      <c r="B67" s="52"/>
      <c r="C67" s="52"/>
      <c r="D67" s="52"/>
      <c r="E67" s="53"/>
      <c r="F67" s="53"/>
      <c r="G67" s="53" t="s">
        <v>137</v>
      </c>
      <c r="H67" s="53"/>
      <c r="I67" s="54"/>
      <c r="J67" s="55">
        <f t="shared" si="0"/>
        <v>0</v>
      </c>
      <c r="K67" s="56">
        <v>0.92</v>
      </c>
      <c r="L67" s="57">
        <f t="shared" si="1"/>
        <v>0</v>
      </c>
      <c r="M67" s="57">
        <f t="shared" si="2"/>
        <v>0</v>
      </c>
      <c r="N67" s="57">
        <f t="shared" si="3"/>
        <v>0</v>
      </c>
      <c r="O67" s="56"/>
      <c r="P67" s="56" t="s">
        <v>138</v>
      </c>
      <c r="Q67" s="56" t="e">
        <f>IF(R67="PVC",VLOOKUP(O67,Dados!C$3:D$19,2),IF(R67="EPR",VLOOKUP(O67,Dados!C$22:D$38,2)))</f>
        <v>#N/A</v>
      </c>
      <c r="R67" s="56" t="s">
        <v>139</v>
      </c>
      <c r="S67" s="51">
        <f t="shared" si="10"/>
        <v>0</v>
      </c>
      <c r="T67" s="56" t="e">
        <f>IF(R67="PVC",VLOOKUP(Q67,Dados!L$3:M$18,2),IF(R67="EPR",VLOOKUP(Q67,Dados!L$3:N$18,3)))</f>
        <v>#N/A</v>
      </c>
      <c r="U67" s="143" t="s">
        <v>140</v>
      </c>
      <c r="V67" s="62"/>
      <c r="W67" s="145"/>
      <c r="X67" s="140"/>
      <c r="Y67" s="137"/>
      <c r="Z67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7" s="63"/>
      <c r="AB67" s="101" t="e">
        <f t="shared" si="4"/>
        <v>#N/A</v>
      </c>
      <c r="AC67" s="60">
        <v>1</v>
      </c>
      <c r="AD67" s="51">
        <f t="shared" si="5"/>
        <v>0</v>
      </c>
      <c r="AE67" s="56">
        <f t="shared" si="6"/>
        <v>0</v>
      </c>
      <c r="AF67" s="56">
        <f t="shared" si="7"/>
        <v>0</v>
      </c>
      <c r="AG67" s="56">
        <f t="shared" si="8"/>
        <v>0</v>
      </c>
      <c r="AH67" s="89">
        <f t="shared" si="9"/>
        <v>219.39310229205779</v>
      </c>
      <c r="AI67" s="90" t="e">
        <f>VLOOKUP(Q67,Dados!$T$4:$U$19,2,FALSE)</f>
        <v>#N/A</v>
      </c>
      <c r="AJ67" s="91">
        <v>1</v>
      </c>
    </row>
    <row r="68" spans="1:36" customFormat="1">
      <c r="A68" s="61"/>
      <c r="B68" s="52" t="s">
        <v>134</v>
      </c>
      <c r="C68" s="52"/>
      <c r="D68" s="52"/>
      <c r="E68" s="53"/>
      <c r="F68" s="53"/>
      <c r="G68" s="53" t="s">
        <v>137</v>
      </c>
      <c r="H68" s="53"/>
      <c r="I68" s="54"/>
      <c r="J68" s="55">
        <f t="shared" si="0"/>
        <v>0</v>
      </c>
      <c r="K68" s="56">
        <v>0.92</v>
      </c>
      <c r="L68" s="57">
        <f t="shared" si="1"/>
        <v>0</v>
      </c>
      <c r="M68" s="57">
        <f t="shared" si="2"/>
        <v>0</v>
      </c>
      <c r="N68" s="57">
        <f t="shared" si="3"/>
        <v>0</v>
      </c>
      <c r="O68" s="56"/>
      <c r="P68" s="56" t="s">
        <v>138</v>
      </c>
      <c r="Q68" s="56" t="e">
        <f>IF(R68="PVC",VLOOKUP(O68,Dados!C$3:D$19,2),IF(R68="EPR",VLOOKUP(O68,Dados!C$22:D$38,2)))</f>
        <v>#N/A</v>
      </c>
      <c r="R68" s="56" t="s">
        <v>139</v>
      </c>
      <c r="S68" s="51">
        <f t="shared" si="10"/>
        <v>0</v>
      </c>
      <c r="T68" s="56" t="e">
        <f>IF(R68="PVC",VLOOKUP(Q68,Dados!L$3:M$18,2),IF(R68="EPR",VLOOKUP(Q68,Dados!L$3:N$18,3)))</f>
        <v>#N/A</v>
      </c>
      <c r="U68" s="143" t="s">
        <v>140</v>
      </c>
      <c r="V68" s="62"/>
      <c r="W68" s="145"/>
      <c r="X68" s="140"/>
      <c r="Y68" s="137"/>
      <c r="Z68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8" s="63"/>
      <c r="AB68" s="101" t="e">
        <f t="shared" si="4"/>
        <v>#N/A</v>
      </c>
      <c r="AC68" s="60">
        <v>1</v>
      </c>
      <c r="AD68" s="51">
        <f t="shared" si="5"/>
        <v>0</v>
      </c>
      <c r="AE68" s="56">
        <f t="shared" si="6"/>
        <v>0</v>
      </c>
      <c r="AF68" s="56">
        <f t="shared" si="7"/>
        <v>0</v>
      </c>
      <c r="AG68" s="56">
        <f t="shared" si="8"/>
        <v>0</v>
      </c>
      <c r="AH68" s="89">
        <f t="shared" si="9"/>
        <v>219.39310229205779</v>
      </c>
      <c r="AI68" s="90" t="e">
        <f>VLOOKUP(Q68,Dados!$T$4:$U$19,2,FALSE)</f>
        <v>#N/A</v>
      </c>
      <c r="AJ68" s="91">
        <v>1</v>
      </c>
    </row>
    <row r="69" spans="1:36" customFormat="1">
      <c r="A69" s="52"/>
      <c r="B69" s="52"/>
      <c r="C69" s="52" t="s">
        <v>134</v>
      </c>
      <c r="D69" s="52"/>
      <c r="E69" s="53"/>
      <c r="F69" s="53"/>
      <c r="G69" s="53" t="s">
        <v>137</v>
      </c>
      <c r="H69" s="53"/>
      <c r="I69" s="54"/>
      <c r="J69" s="55">
        <f t="shared" si="0"/>
        <v>0</v>
      </c>
      <c r="K69" s="56">
        <v>0.92</v>
      </c>
      <c r="L69" s="57">
        <f t="shared" si="1"/>
        <v>0</v>
      </c>
      <c r="M69" s="57">
        <f t="shared" si="2"/>
        <v>0</v>
      </c>
      <c r="N69" s="57">
        <f t="shared" si="3"/>
        <v>0</v>
      </c>
      <c r="O69" s="56"/>
      <c r="P69" s="56" t="s">
        <v>138</v>
      </c>
      <c r="Q69" s="56" t="e">
        <f>IF(R69="PVC",VLOOKUP(O69,Dados!C$3:D$19,2),IF(R69="EPR",VLOOKUP(O69,Dados!C$22:D$38,2)))</f>
        <v>#N/A</v>
      </c>
      <c r="R69" s="56" t="s">
        <v>139</v>
      </c>
      <c r="S69" s="51">
        <f t="shared" si="10"/>
        <v>0</v>
      </c>
      <c r="T69" s="56" t="e">
        <f>IF(R69="PVC",VLOOKUP(Q69,Dados!L$3:M$18,2),IF(R69="EPR",VLOOKUP(Q69,Dados!L$3:N$18,3)))</f>
        <v>#N/A</v>
      </c>
      <c r="U69" s="143" t="s">
        <v>140</v>
      </c>
      <c r="V69" s="62"/>
      <c r="W69" s="145"/>
      <c r="X69" s="140"/>
      <c r="Y69" s="137"/>
      <c r="Z69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69" s="63"/>
      <c r="AB69" s="101" t="e">
        <f t="shared" si="4"/>
        <v>#N/A</v>
      </c>
      <c r="AC69" s="60">
        <v>1</v>
      </c>
      <c r="AD69" s="51">
        <f t="shared" si="5"/>
        <v>0</v>
      </c>
      <c r="AE69" s="56">
        <f t="shared" si="6"/>
        <v>0</v>
      </c>
      <c r="AF69" s="56">
        <f t="shared" si="7"/>
        <v>0</v>
      </c>
      <c r="AG69" s="56">
        <f t="shared" si="8"/>
        <v>0</v>
      </c>
      <c r="AH69" s="89">
        <f t="shared" si="9"/>
        <v>219.39310229205779</v>
      </c>
      <c r="AI69" s="90" t="e">
        <f>VLOOKUP(Q69,Dados!$T$4:$U$19,2,FALSE)</f>
        <v>#N/A</v>
      </c>
      <c r="AJ69" s="91">
        <v>1</v>
      </c>
    </row>
    <row r="70" spans="1:36" customFormat="1">
      <c r="A70" s="61" t="s">
        <v>134</v>
      </c>
      <c r="B70" s="52"/>
      <c r="C70" s="52"/>
      <c r="D70" s="52"/>
      <c r="E70" s="53"/>
      <c r="F70" s="53"/>
      <c r="G70" s="53" t="s">
        <v>137</v>
      </c>
      <c r="H70" s="53"/>
      <c r="I70" s="54"/>
      <c r="J70" s="55">
        <f t="shared" si="0"/>
        <v>0</v>
      </c>
      <c r="K70" s="56">
        <v>0.92</v>
      </c>
      <c r="L70" s="57">
        <f t="shared" si="1"/>
        <v>0</v>
      </c>
      <c r="M70" s="57">
        <f t="shared" si="2"/>
        <v>0</v>
      </c>
      <c r="N70" s="57">
        <f t="shared" si="3"/>
        <v>0</v>
      </c>
      <c r="O70" s="56"/>
      <c r="P70" s="56" t="s">
        <v>138</v>
      </c>
      <c r="Q70" s="56" t="e">
        <f>IF(R70="PVC",VLOOKUP(O70,Dados!C$3:D$19,2),IF(R70="EPR",VLOOKUP(O70,Dados!C$22:D$38,2)))</f>
        <v>#N/A</v>
      </c>
      <c r="R70" s="56" t="s">
        <v>139</v>
      </c>
      <c r="S70" s="51">
        <f t="shared" si="10"/>
        <v>0</v>
      </c>
      <c r="T70" s="56" t="e">
        <f>IF(R70="PVC",VLOOKUP(Q70,Dados!L$3:M$18,2),IF(R70="EPR",VLOOKUP(Q70,Dados!L$3:N$18,3)))</f>
        <v>#N/A</v>
      </c>
      <c r="U70" s="143" t="s">
        <v>140</v>
      </c>
      <c r="V70" s="62"/>
      <c r="W70" s="145"/>
      <c r="X70" s="140"/>
      <c r="Y70" s="137"/>
      <c r="Z70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0" s="63"/>
      <c r="AB70" s="101" t="e">
        <f t="shared" si="4"/>
        <v>#N/A</v>
      </c>
      <c r="AC70" s="60">
        <v>1</v>
      </c>
      <c r="AD70" s="51">
        <f t="shared" si="5"/>
        <v>0</v>
      </c>
      <c r="AE70" s="56">
        <f t="shared" si="6"/>
        <v>0</v>
      </c>
      <c r="AF70" s="56">
        <f t="shared" si="7"/>
        <v>0</v>
      </c>
      <c r="AG70" s="56">
        <f t="shared" si="8"/>
        <v>0</v>
      </c>
      <c r="AH70" s="89">
        <f t="shared" si="9"/>
        <v>219.39310229205779</v>
      </c>
      <c r="AI70" s="90" t="e">
        <f>VLOOKUP(Q70,Dados!$T$4:$U$19,2,FALSE)</f>
        <v>#N/A</v>
      </c>
      <c r="AJ70" s="91">
        <v>1</v>
      </c>
    </row>
    <row r="71" spans="1:36" customFormat="1">
      <c r="A71" s="52"/>
      <c r="B71" s="52" t="s">
        <v>134</v>
      </c>
      <c r="C71" s="52"/>
      <c r="D71" s="52"/>
      <c r="E71" s="53"/>
      <c r="F71" s="53"/>
      <c r="G71" s="53" t="s">
        <v>137</v>
      </c>
      <c r="H71" s="53"/>
      <c r="I71" s="54"/>
      <c r="J71" s="55">
        <f t="shared" si="0"/>
        <v>0</v>
      </c>
      <c r="K71" s="56">
        <v>0.92</v>
      </c>
      <c r="L71" s="57">
        <f t="shared" si="1"/>
        <v>0</v>
      </c>
      <c r="M71" s="57">
        <f t="shared" si="2"/>
        <v>0</v>
      </c>
      <c r="N71" s="57">
        <f t="shared" si="3"/>
        <v>0</v>
      </c>
      <c r="O71" s="56"/>
      <c r="P71" s="56" t="s">
        <v>138</v>
      </c>
      <c r="Q71" s="56" t="e">
        <f>IF(R71="PVC",VLOOKUP(O71,Dados!C$3:D$19,2),IF(R71="EPR",VLOOKUP(O71,Dados!C$22:D$38,2)))</f>
        <v>#N/A</v>
      </c>
      <c r="R71" s="56" t="s">
        <v>139</v>
      </c>
      <c r="S71" s="51">
        <f t="shared" si="10"/>
        <v>0</v>
      </c>
      <c r="T71" s="56" t="e">
        <f>IF(R71="PVC",VLOOKUP(Q71,Dados!L$3:M$18,2),IF(R71="EPR",VLOOKUP(Q71,Dados!L$3:N$18,3)))</f>
        <v>#N/A</v>
      </c>
      <c r="U71" s="143" t="s">
        <v>140</v>
      </c>
      <c r="V71" s="62"/>
      <c r="W71" s="145"/>
      <c r="X71" s="140"/>
      <c r="Y71" s="137"/>
      <c r="Z71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1" s="63"/>
      <c r="AB71" s="101" t="e">
        <f t="shared" si="4"/>
        <v>#N/A</v>
      </c>
      <c r="AC71" s="60">
        <v>1</v>
      </c>
      <c r="AD71" s="51">
        <f t="shared" si="5"/>
        <v>0</v>
      </c>
      <c r="AE71" s="56">
        <f t="shared" si="6"/>
        <v>0</v>
      </c>
      <c r="AF71" s="56">
        <f t="shared" si="7"/>
        <v>0</v>
      </c>
      <c r="AG71" s="56">
        <f t="shared" si="8"/>
        <v>0</v>
      </c>
      <c r="AH71" s="89">
        <f t="shared" si="9"/>
        <v>219.39310229205779</v>
      </c>
      <c r="AI71" s="90" t="e">
        <f>VLOOKUP(Q71,Dados!$T$4:$U$19,2,FALSE)</f>
        <v>#N/A</v>
      </c>
      <c r="AJ71" s="91">
        <v>1</v>
      </c>
    </row>
    <row r="72" spans="1:36" customFormat="1">
      <c r="A72" s="52"/>
      <c r="B72" s="52"/>
      <c r="C72" s="52" t="s">
        <v>134</v>
      </c>
      <c r="D72" s="52"/>
      <c r="E72" s="53"/>
      <c r="F72" s="53"/>
      <c r="G72" s="53" t="s">
        <v>137</v>
      </c>
      <c r="H72" s="53"/>
      <c r="I72" s="54"/>
      <c r="J72" s="55">
        <f t="shared" si="0"/>
        <v>0</v>
      </c>
      <c r="K72" s="56">
        <v>0.92</v>
      </c>
      <c r="L72" s="57">
        <f t="shared" si="1"/>
        <v>0</v>
      </c>
      <c r="M72" s="57">
        <f t="shared" si="2"/>
        <v>0</v>
      </c>
      <c r="N72" s="57">
        <f t="shared" si="3"/>
        <v>0</v>
      </c>
      <c r="O72" s="56"/>
      <c r="P72" s="56" t="s">
        <v>138</v>
      </c>
      <c r="Q72" s="56" t="e">
        <f>IF(R72="PVC",VLOOKUP(O72,Dados!C$3:D$19,2),IF(R72="EPR",VLOOKUP(O72,Dados!C$22:D$38,2)))</f>
        <v>#N/A</v>
      </c>
      <c r="R72" s="56" t="s">
        <v>139</v>
      </c>
      <c r="S72" s="51">
        <f t="shared" si="10"/>
        <v>0</v>
      </c>
      <c r="T72" s="56" t="e">
        <f>IF(R72="PVC",VLOOKUP(Q72,Dados!L$3:M$18,2),IF(R72="EPR",VLOOKUP(Q72,Dados!L$3:N$18,3)))</f>
        <v>#N/A</v>
      </c>
      <c r="U72" s="143" t="s">
        <v>140</v>
      </c>
      <c r="V72" s="62"/>
      <c r="W72" s="145"/>
      <c r="X72" s="140"/>
      <c r="Y72" s="137"/>
      <c r="Z72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2" s="63"/>
      <c r="AB72" s="101" t="e">
        <f t="shared" si="4"/>
        <v>#N/A</v>
      </c>
      <c r="AC72" s="60">
        <v>1</v>
      </c>
      <c r="AD72" s="51">
        <f t="shared" si="5"/>
        <v>0</v>
      </c>
      <c r="AE72" s="56">
        <f t="shared" si="6"/>
        <v>0</v>
      </c>
      <c r="AF72" s="56">
        <f t="shared" si="7"/>
        <v>0</v>
      </c>
      <c r="AG72" s="56">
        <f t="shared" si="8"/>
        <v>0</v>
      </c>
      <c r="AH72" s="89">
        <f t="shared" si="9"/>
        <v>219.39310229205779</v>
      </c>
      <c r="AI72" s="90" t="e">
        <f>VLOOKUP(Q72,Dados!$T$4:$U$19,2,FALSE)</f>
        <v>#N/A</v>
      </c>
      <c r="AJ72" s="91">
        <v>1</v>
      </c>
    </row>
    <row r="73" spans="1:36" customFormat="1">
      <c r="A73" s="52" t="s">
        <v>134</v>
      </c>
      <c r="B73" s="52"/>
      <c r="C73" s="52"/>
      <c r="D73" s="52"/>
      <c r="E73" s="53"/>
      <c r="F73" s="53"/>
      <c r="G73" s="53" t="s">
        <v>137</v>
      </c>
      <c r="H73" s="53"/>
      <c r="I73" s="54"/>
      <c r="J73" s="55">
        <f t="shared" si="0"/>
        <v>0</v>
      </c>
      <c r="K73" s="56">
        <v>0.92</v>
      </c>
      <c r="L73" s="57">
        <f t="shared" si="1"/>
        <v>0</v>
      </c>
      <c r="M73" s="57">
        <f t="shared" si="2"/>
        <v>0</v>
      </c>
      <c r="N73" s="57">
        <f t="shared" si="3"/>
        <v>0</v>
      </c>
      <c r="O73" s="56"/>
      <c r="P73" s="56" t="s">
        <v>138</v>
      </c>
      <c r="Q73" s="56" t="e">
        <f>IF(R73="PVC",VLOOKUP(O73,Dados!C$3:D$19,2),IF(R73="EPR",VLOOKUP(O73,Dados!C$22:D$38,2)))</f>
        <v>#N/A</v>
      </c>
      <c r="R73" s="56" t="s">
        <v>139</v>
      </c>
      <c r="S73" s="51">
        <f t="shared" si="10"/>
        <v>0</v>
      </c>
      <c r="T73" s="56" t="e">
        <f>IF(R73="PVC",VLOOKUP(Q73,Dados!L$3:M$18,2),IF(R73="EPR",VLOOKUP(Q73,Dados!L$3:N$18,3)))</f>
        <v>#N/A</v>
      </c>
      <c r="U73" s="143" t="s">
        <v>140</v>
      </c>
      <c r="V73" s="62"/>
      <c r="W73" s="145"/>
      <c r="X73" s="140"/>
      <c r="Y73" s="137"/>
      <c r="Z73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3" s="63"/>
      <c r="AB73" s="101" t="e">
        <f t="shared" si="4"/>
        <v>#N/A</v>
      </c>
      <c r="AC73" s="60">
        <v>1</v>
      </c>
      <c r="AD73" s="51">
        <f t="shared" si="5"/>
        <v>0</v>
      </c>
      <c r="AE73" s="56">
        <f t="shared" si="6"/>
        <v>0</v>
      </c>
      <c r="AF73" s="56">
        <f t="shared" si="7"/>
        <v>0</v>
      </c>
      <c r="AG73" s="56">
        <f t="shared" si="8"/>
        <v>0</v>
      </c>
      <c r="AH73" s="89">
        <f t="shared" si="9"/>
        <v>219.39310229205779</v>
      </c>
      <c r="AI73" s="90" t="e">
        <f>VLOOKUP(Q73,Dados!$T$4:$U$19,2,FALSE)</f>
        <v>#N/A</v>
      </c>
      <c r="AJ73" s="91">
        <v>1</v>
      </c>
    </row>
    <row r="74" spans="1:36" customFormat="1">
      <c r="A74" s="61"/>
      <c r="B74" s="52" t="s">
        <v>134</v>
      </c>
      <c r="C74" s="52"/>
      <c r="D74" s="52"/>
      <c r="E74" s="53"/>
      <c r="F74" s="53"/>
      <c r="G74" s="53" t="s">
        <v>137</v>
      </c>
      <c r="H74" s="53"/>
      <c r="I74" s="54"/>
      <c r="J74" s="55">
        <f t="shared" si="0"/>
        <v>0</v>
      </c>
      <c r="K74" s="56">
        <v>0.92</v>
      </c>
      <c r="L74" s="57">
        <f t="shared" si="1"/>
        <v>0</v>
      </c>
      <c r="M74" s="57">
        <f t="shared" si="2"/>
        <v>0</v>
      </c>
      <c r="N74" s="57">
        <f t="shared" si="3"/>
        <v>0</v>
      </c>
      <c r="O74" s="56"/>
      <c r="P74" s="56" t="s">
        <v>138</v>
      </c>
      <c r="Q74" s="56" t="e">
        <f>IF(R74="PVC",VLOOKUP(O74,Dados!C$3:D$19,2),IF(R74="EPR",VLOOKUP(O74,Dados!C$22:D$38,2)))</f>
        <v>#N/A</v>
      </c>
      <c r="R74" s="56" t="s">
        <v>139</v>
      </c>
      <c r="S74" s="51">
        <f t="shared" si="10"/>
        <v>0</v>
      </c>
      <c r="T74" s="56" t="e">
        <f>IF(R74="PVC",VLOOKUP(Q74,Dados!L$3:M$18,2),IF(R74="EPR",VLOOKUP(Q74,Dados!L$3:N$18,3)))</f>
        <v>#N/A</v>
      </c>
      <c r="U74" s="143" t="s">
        <v>140</v>
      </c>
      <c r="V74" s="62"/>
      <c r="W74" s="145"/>
      <c r="X74" s="140"/>
      <c r="Y74" s="137"/>
      <c r="Z74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4" s="63"/>
      <c r="AB74" s="101" t="e">
        <f t="shared" si="4"/>
        <v>#N/A</v>
      </c>
      <c r="AC74" s="60">
        <v>1</v>
      </c>
      <c r="AD74" s="51">
        <f t="shared" si="5"/>
        <v>0</v>
      </c>
      <c r="AE74" s="56">
        <f t="shared" si="6"/>
        <v>0</v>
      </c>
      <c r="AF74" s="56">
        <f t="shared" si="7"/>
        <v>0</v>
      </c>
      <c r="AG74" s="56">
        <f t="shared" si="8"/>
        <v>0</v>
      </c>
      <c r="AH74" s="89">
        <f t="shared" si="9"/>
        <v>219.39310229205779</v>
      </c>
      <c r="AI74" s="90" t="e">
        <f>VLOOKUP(Q74,Dados!$T$4:$U$19,2,FALSE)</f>
        <v>#N/A</v>
      </c>
      <c r="AJ74" s="91">
        <v>1</v>
      </c>
    </row>
    <row r="75" spans="1:36" customFormat="1">
      <c r="A75" s="52"/>
      <c r="B75" s="52"/>
      <c r="C75" s="52" t="s">
        <v>134</v>
      </c>
      <c r="D75" s="52"/>
      <c r="E75" s="53"/>
      <c r="F75" s="53"/>
      <c r="G75" s="53" t="s">
        <v>137</v>
      </c>
      <c r="H75" s="53"/>
      <c r="I75" s="54"/>
      <c r="J75" s="55">
        <f t="shared" si="0"/>
        <v>0</v>
      </c>
      <c r="K75" s="56">
        <v>0.92</v>
      </c>
      <c r="L75" s="57">
        <f t="shared" si="1"/>
        <v>0</v>
      </c>
      <c r="M75" s="57">
        <f t="shared" si="2"/>
        <v>0</v>
      </c>
      <c r="N75" s="57">
        <f t="shared" si="3"/>
        <v>0</v>
      </c>
      <c r="O75" s="56"/>
      <c r="P75" s="56" t="s">
        <v>138</v>
      </c>
      <c r="Q75" s="56" t="e">
        <f>IF(R75="PVC",VLOOKUP(O75,Dados!C$3:D$19,2),IF(R75="EPR",VLOOKUP(O75,Dados!C$22:D$38,2)))</f>
        <v>#N/A</v>
      </c>
      <c r="R75" s="56" t="s">
        <v>139</v>
      </c>
      <c r="S75" s="51">
        <f t="shared" si="10"/>
        <v>0</v>
      </c>
      <c r="T75" s="56" t="e">
        <f>IF(R75="PVC",VLOOKUP(Q75,Dados!L$3:M$18,2),IF(R75="EPR",VLOOKUP(Q75,Dados!L$3:N$18,3)))</f>
        <v>#N/A</v>
      </c>
      <c r="U75" s="143" t="s">
        <v>140</v>
      </c>
      <c r="V75" s="62"/>
      <c r="W75" s="145"/>
      <c r="X75" s="140"/>
      <c r="Y75" s="137"/>
      <c r="Z75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5" s="63"/>
      <c r="AB75" s="101" t="e">
        <f t="shared" si="4"/>
        <v>#N/A</v>
      </c>
      <c r="AC75" s="60">
        <v>1</v>
      </c>
      <c r="AD75" s="51">
        <f t="shared" si="5"/>
        <v>0</v>
      </c>
      <c r="AE75" s="56">
        <f t="shared" si="6"/>
        <v>0</v>
      </c>
      <c r="AF75" s="56">
        <f t="shared" si="7"/>
        <v>0</v>
      </c>
      <c r="AG75" s="56">
        <f t="shared" si="8"/>
        <v>0</v>
      </c>
      <c r="AH75" s="89">
        <f t="shared" si="9"/>
        <v>219.39310229205779</v>
      </c>
      <c r="AI75" s="90" t="e">
        <f>VLOOKUP(Q75,Dados!$T$4:$U$19,2,FALSE)</f>
        <v>#N/A</v>
      </c>
      <c r="AJ75" s="91">
        <v>1</v>
      </c>
    </row>
    <row r="76" spans="1:36" customFormat="1">
      <c r="A76" s="61" t="s">
        <v>134</v>
      </c>
      <c r="B76" s="52"/>
      <c r="C76" s="52"/>
      <c r="D76" s="52"/>
      <c r="E76" s="53"/>
      <c r="F76" s="53"/>
      <c r="G76" s="53" t="s">
        <v>137</v>
      </c>
      <c r="H76" s="53"/>
      <c r="I76" s="54"/>
      <c r="J76" s="55">
        <f t="shared" si="0"/>
        <v>0</v>
      </c>
      <c r="K76" s="56">
        <v>0.92</v>
      </c>
      <c r="L76" s="57">
        <f t="shared" si="1"/>
        <v>0</v>
      </c>
      <c r="M76" s="57">
        <f t="shared" si="2"/>
        <v>0</v>
      </c>
      <c r="N76" s="57">
        <f t="shared" si="3"/>
        <v>0</v>
      </c>
      <c r="O76" s="56"/>
      <c r="P76" s="56" t="s">
        <v>138</v>
      </c>
      <c r="Q76" s="56" t="e">
        <f>IF(R76="PVC",VLOOKUP(O76,Dados!C$3:D$19,2),IF(R76="EPR",VLOOKUP(O76,Dados!C$22:D$38,2)))</f>
        <v>#N/A</v>
      </c>
      <c r="R76" s="56" t="s">
        <v>139</v>
      </c>
      <c r="S76" s="51">
        <f t="shared" si="10"/>
        <v>0</v>
      </c>
      <c r="T76" s="56" t="e">
        <f>IF(R76="PVC",VLOOKUP(Q76,Dados!L$3:M$18,2),IF(R76="EPR",VLOOKUP(Q76,Dados!L$3:N$18,3)))</f>
        <v>#N/A</v>
      </c>
      <c r="U76" s="143" t="s">
        <v>140</v>
      </c>
      <c r="V76" s="62"/>
      <c r="W76" s="145"/>
      <c r="X76" s="140"/>
      <c r="Y76" s="137"/>
      <c r="Z76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6" s="63"/>
      <c r="AB76" s="101" t="e">
        <f t="shared" si="4"/>
        <v>#N/A</v>
      </c>
      <c r="AC76" s="60">
        <v>1</v>
      </c>
      <c r="AD76" s="51">
        <f t="shared" si="5"/>
        <v>0</v>
      </c>
      <c r="AE76" s="56">
        <f t="shared" si="6"/>
        <v>0</v>
      </c>
      <c r="AF76" s="56">
        <f t="shared" si="7"/>
        <v>0</v>
      </c>
      <c r="AG76" s="56">
        <f t="shared" si="8"/>
        <v>0</v>
      </c>
      <c r="AH76" s="89">
        <f t="shared" si="9"/>
        <v>219.39310229205779</v>
      </c>
      <c r="AI76" s="90" t="e">
        <f>VLOOKUP(Q76,Dados!$T$4:$U$19,2,FALSE)</f>
        <v>#N/A</v>
      </c>
      <c r="AJ76" s="91">
        <v>1</v>
      </c>
    </row>
    <row r="77" spans="1:36" customFormat="1">
      <c r="A77" s="52"/>
      <c r="B77" s="52" t="s">
        <v>134</v>
      </c>
      <c r="C77" s="52"/>
      <c r="D77" s="52"/>
      <c r="E77" s="53"/>
      <c r="F77" s="53"/>
      <c r="G77" s="53" t="s">
        <v>137</v>
      </c>
      <c r="H77" s="53"/>
      <c r="I77" s="54"/>
      <c r="J77" s="55">
        <f t="shared" si="0"/>
        <v>0</v>
      </c>
      <c r="K77" s="56">
        <v>0.92</v>
      </c>
      <c r="L77" s="57">
        <f t="shared" si="1"/>
        <v>0</v>
      </c>
      <c r="M77" s="57">
        <f t="shared" si="2"/>
        <v>0</v>
      </c>
      <c r="N77" s="57">
        <f t="shared" si="3"/>
        <v>0</v>
      </c>
      <c r="O77" s="56"/>
      <c r="P77" s="56" t="s">
        <v>138</v>
      </c>
      <c r="Q77" s="56" t="e">
        <f>IF(R77="PVC",VLOOKUP(O77,Dados!C$3:D$19,2),IF(R77="EPR",VLOOKUP(O77,Dados!C$22:D$38,2)))</f>
        <v>#N/A</v>
      </c>
      <c r="R77" s="56" t="s">
        <v>139</v>
      </c>
      <c r="S77" s="51">
        <f t="shared" si="10"/>
        <v>0</v>
      </c>
      <c r="T77" s="56" t="e">
        <f>IF(R77="PVC",VLOOKUP(Q77,Dados!L$3:M$18,2),IF(R77="EPR",VLOOKUP(Q77,Dados!L$3:N$18,3)))</f>
        <v>#N/A</v>
      </c>
      <c r="U77" s="143" t="s">
        <v>140</v>
      </c>
      <c r="V77" s="62"/>
      <c r="W77" s="145"/>
      <c r="X77" s="149"/>
      <c r="Y77" s="150"/>
      <c r="Z77" s="141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7" s="63"/>
      <c r="AB77" s="101" t="e">
        <f t="shared" si="4"/>
        <v>#N/A</v>
      </c>
      <c r="AC77" s="60">
        <v>1</v>
      </c>
      <c r="AD77" s="51">
        <f t="shared" si="5"/>
        <v>0</v>
      </c>
      <c r="AE77" s="56">
        <f t="shared" si="6"/>
        <v>0</v>
      </c>
      <c r="AF77" s="56">
        <f t="shared" si="7"/>
        <v>0</v>
      </c>
      <c r="AG77" s="56">
        <f t="shared" si="8"/>
        <v>0</v>
      </c>
      <c r="AH77" s="89">
        <f t="shared" si="9"/>
        <v>219.39310229205779</v>
      </c>
      <c r="AI77" s="90" t="e">
        <f>VLOOKUP(Q77,Dados!$T$4:$U$19,2,FALSE)</f>
        <v>#N/A</v>
      </c>
      <c r="AJ77" s="91">
        <v>1</v>
      </c>
    </row>
    <row r="78" spans="1:36" customFormat="1" ht="13.5" thickBot="1">
      <c r="A78" s="52"/>
      <c r="B78" s="52"/>
      <c r="C78" s="52"/>
      <c r="D78" s="65"/>
      <c r="E78" s="270" t="s">
        <v>160</v>
      </c>
      <c r="F78" s="96" t="str">
        <f>CONCATENATE("ESPAÇO RESERVA ",IF(COUNTIF(F19:F77,"*")&lt;6,2,IF(COUNTIF(F19:F77,"*")&lt;12,3,IF(COUNTIF(F19:F77,"*")&lt;30,4,ROUNDUP(COUNTIF(F19:F77,"*")*0.15,0)))))</f>
        <v>ESPAÇO RESERVA 2</v>
      </c>
      <c r="G78" s="66"/>
      <c r="H78" s="66"/>
      <c r="I78" s="59"/>
      <c r="J78" s="64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9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8" s="67"/>
      <c r="AB78" s="59"/>
      <c r="AC78" s="68"/>
      <c r="AD78" s="51"/>
      <c r="AE78" s="68"/>
      <c r="AF78" s="68"/>
      <c r="AG78" s="68"/>
      <c r="AH78" s="89"/>
      <c r="AI78" s="90"/>
      <c r="AJ78" s="92"/>
    </row>
    <row r="79" spans="1:36" customFormat="1" ht="13.5" thickBot="1">
      <c r="F79" s="69" t="s">
        <v>161</v>
      </c>
      <c r="G79" s="69"/>
      <c r="H79" s="69"/>
      <c r="I79" s="99">
        <f>SUM(I18:I77)</f>
        <v>0</v>
      </c>
      <c r="J79" s="99">
        <f>SUM(J18:J77)</f>
        <v>0</v>
      </c>
      <c r="K79" s="69"/>
      <c r="L79" s="70">
        <f>SUM(L19:L77)</f>
        <v>0</v>
      </c>
      <c r="M79" s="70">
        <f>SUM(M19:M77)</f>
        <v>0</v>
      </c>
      <c r="N79" s="70">
        <f>SUM(N19:N77)</f>
        <v>0</v>
      </c>
      <c r="O79" s="71"/>
      <c r="Z79" s="9">
        <f>IFERROR(IF(_QD012[[#This Row],[Colunas19]]&lt;0.3*_QD012[[#This Row],[Colunas20]],_QD012[[#This Row],[Colunas19]],_QD012[[#This Row],[Colunas19]]/(INDEX(Dados!$Y:$AD,IFERROR(MATCH(COUNTIF($X$18:$X$76,_QD012[[#This Row],[Colunas254]]),Dados!$Y:$Y,0),(MATCH(COUNTIF($X$18:$X$76,_QD012[[#This Row],[Colunas254]]),Dados!$Y:$Y,)+1)),1+VALUE(MID(_QD012[[#This Row],[Colunas253]],6,1))))),0)</f>
        <v>0</v>
      </c>
      <c r="AA79" s="146"/>
      <c r="AB79" s="147"/>
      <c r="AC79" s="123" t="e">
        <f>SUM(AE79:AG79)/SUM(L79:N79)</f>
        <v>#DIV/0!</v>
      </c>
      <c r="AD79" s="83"/>
      <c r="AE79" s="72">
        <f>SUM(AE19:AE78)</f>
        <v>0</v>
      </c>
      <c r="AF79" s="73">
        <f>SUM(AF19:AF78)</f>
        <v>0</v>
      </c>
      <c r="AG79" s="73">
        <f>SUM(AG19:AG78)</f>
        <v>0</v>
      </c>
      <c r="AH79" s="93"/>
      <c r="AI79" s="94"/>
      <c r="AJ79" s="95"/>
    </row>
    <row r="80" spans="1:36">
      <c r="L80" s="40"/>
      <c r="M80" s="40"/>
      <c r="N80" s="40"/>
      <c r="O80" s="40"/>
      <c r="AC80" s="41"/>
      <c r="AD80" s="41"/>
      <c r="AE80" s="213" t="s">
        <v>161</v>
      </c>
      <c r="AF80" s="213"/>
      <c r="AG80" s="213"/>
    </row>
    <row r="82" spans="6:19" ht="13.5" thickBot="1">
      <c r="F82" s="23"/>
    </row>
    <row r="83" spans="6:19" ht="14.25" thickTop="1" thickBot="1">
      <c r="F83" s="164" t="s">
        <v>162</v>
      </c>
      <c r="G83" s="165"/>
      <c r="H83" s="165"/>
      <c r="I83" s="165"/>
      <c r="J83" s="165"/>
      <c r="K83" s="165"/>
      <c r="L83" s="166"/>
    </row>
    <row r="84" spans="6:19" ht="13.5" thickBot="1">
      <c r="F84" s="167"/>
      <c r="G84" s="168"/>
      <c r="H84" s="168"/>
      <c r="I84" s="168"/>
      <c r="J84" s="168"/>
      <c r="K84" s="168"/>
      <c r="L84" s="169"/>
    </row>
    <row r="85" spans="6:19" ht="13.5" thickBot="1">
      <c r="F85" s="152"/>
      <c r="G85" s="248" t="s">
        <v>163</v>
      </c>
      <c r="H85" s="248"/>
      <c r="I85" s="248"/>
      <c r="J85" s="248"/>
      <c r="K85" s="248"/>
      <c r="L85" s="249"/>
    </row>
    <row r="86" spans="6:19" ht="13.5" thickBot="1">
      <c r="F86" s="153"/>
      <c r="G86" s="250" t="s">
        <v>164</v>
      </c>
      <c r="H86" s="250"/>
      <c r="I86" s="250"/>
      <c r="J86" s="250"/>
      <c r="K86" s="250"/>
      <c r="L86" s="251"/>
      <c r="S86" s="42"/>
    </row>
    <row r="87" spans="6:19" ht="13.5" thickBot="1">
      <c r="F87" s="154"/>
      <c r="G87" s="252" t="s">
        <v>165</v>
      </c>
      <c r="H87" s="253"/>
      <c r="I87" s="253"/>
      <c r="J87" s="253"/>
      <c r="K87" s="253"/>
      <c r="L87" s="254"/>
      <c r="S87" s="42"/>
    </row>
    <row r="88" spans="6:19" ht="13.5" thickBot="1">
      <c r="F88" s="155"/>
      <c r="G88" s="252" t="s">
        <v>166</v>
      </c>
      <c r="H88" s="255"/>
      <c r="I88" s="255"/>
      <c r="J88" s="255"/>
      <c r="K88" s="255"/>
      <c r="L88" s="256"/>
    </row>
    <row r="89" spans="6:19" ht="13.5" thickBot="1">
      <c r="F89" s="156"/>
      <c r="G89" s="257" t="s">
        <v>167</v>
      </c>
      <c r="H89" s="258"/>
      <c r="I89" s="258"/>
      <c r="J89" s="258"/>
      <c r="K89" s="258"/>
      <c r="L89" s="259"/>
    </row>
    <row r="90" spans="6:19" ht="13.5" thickTop="1"/>
  </sheetData>
  <sheetProtection selectLockedCells="1"/>
  <dataConsolidate/>
  <mergeCells count="73">
    <mergeCell ref="G85:L85"/>
    <mergeCell ref="G86:L86"/>
    <mergeCell ref="G87:L87"/>
    <mergeCell ref="G88:L88"/>
    <mergeCell ref="G89:L89"/>
    <mergeCell ref="A4:D15"/>
    <mergeCell ref="E4:E13"/>
    <mergeCell ref="G4:G5"/>
    <mergeCell ref="I4:J4"/>
    <mergeCell ref="K4:K13"/>
    <mergeCell ref="I12:J12"/>
    <mergeCell ref="L5:M7"/>
    <mergeCell ref="S6:S7"/>
    <mergeCell ref="T6:T7"/>
    <mergeCell ref="I10:J10"/>
    <mergeCell ref="E1:F1"/>
    <mergeCell ref="L2:M3"/>
    <mergeCell ref="L4:M4"/>
    <mergeCell ref="O10:P10"/>
    <mergeCell ref="S10:S11"/>
    <mergeCell ref="T10:T11"/>
    <mergeCell ref="I11:J11"/>
    <mergeCell ref="L11:M11"/>
    <mergeCell ref="O11:P11"/>
    <mergeCell ref="U6:U7"/>
    <mergeCell ref="V6:W7"/>
    <mergeCell ref="I7:J7"/>
    <mergeCell ref="R7:R13"/>
    <mergeCell ref="I8:J8"/>
    <mergeCell ref="L8:M8"/>
    <mergeCell ref="S8:S9"/>
    <mergeCell ref="T8:T9"/>
    <mergeCell ref="I9:J9"/>
    <mergeCell ref="L9:M10"/>
    <mergeCell ref="N4:N13"/>
    <mergeCell ref="Q4:Q13"/>
    <mergeCell ref="R4:R6"/>
    <mergeCell ref="S4:S5"/>
    <mergeCell ref="T4:T5"/>
    <mergeCell ref="I5:J5"/>
    <mergeCell ref="O12:P12"/>
    <mergeCell ref="S12:S13"/>
    <mergeCell ref="T12:T13"/>
    <mergeCell ref="I13:J13"/>
    <mergeCell ref="G15:K15"/>
    <mergeCell ref="O15:T15"/>
    <mergeCell ref="L12:M13"/>
    <mergeCell ref="A16:A17"/>
    <mergeCell ref="B16:B17"/>
    <mergeCell ref="C16:C17"/>
    <mergeCell ref="E16:E17"/>
    <mergeCell ref="F16:F17"/>
    <mergeCell ref="AH16:AH17"/>
    <mergeCell ref="AI16:AI17"/>
    <mergeCell ref="AJ16:AJ17"/>
    <mergeCell ref="S16:S17"/>
    <mergeCell ref="T16:T17"/>
    <mergeCell ref="U16:W16"/>
    <mergeCell ref="X16:Z16"/>
    <mergeCell ref="AA16:AA17"/>
    <mergeCell ref="AB16:AB17"/>
    <mergeCell ref="G16:G17"/>
    <mergeCell ref="F83:L84"/>
    <mergeCell ref="AE80:AG80"/>
    <mergeCell ref="AC16:AC17"/>
    <mergeCell ref="AD16:AD17"/>
    <mergeCell ref="AE16:AG16"/>
    <mergeCell ref="I16:J16"/>
    <mergeCell ref="L16:N16"/>
    <mergeCell ref="O16:O17"/>
    <mergeCell ref="P16:P17"/>
    <mergeCell ref="Q16:Q17"/>
    <mergeCell ref="R16:R17"/>
  </mergeCells>
  <conditionalFormatting sqref="O18">
    <cfRule type="cellIs" dxfId="152" priority="12" operator="greaterThan">
      <formula>16</formula>
    </cfRule>
    <cfRule type="cellIs" dxfId="151" priority="13" operator="notEqual">
      <formula>#REF!</formula>
    </cfRule>
  </conditionalFormatting>
  <conditionalFormatting sqref="T6:W7">
    <cfRule type="expression" dxfId="150" priority="2">
      <formula>ISBLANK($T$6)</formula>
    </cfRule>
  </conditionalFormatting>
  <conditionalFormatting sqref="U18">
    <cfRule type="cellIs" dxfId="149" priority="11" operator="notEqual">
      <formula>#REF!</formula>
    </cfRule>
  </conditionalFormatting>
  <conditionalFormatting sqref="U18:U77">
    <cfRule type="cellIs" dxfId="148" priority="6" operator="equal">
      <formula>"SIM"</formula>
    </cfRule>
  </conditionalFormatting>
  <conditionalFormatting sqref="U19">
    <cfRule type="cellIs" dxfId="147" priority="22" operator="notEqual">
      <formula>#REF!</formula>
    </cfRule>
  </conditionalFormatting>
  <conditionalFormatting sqref="U19:U77">
    <cfRule type="cellIs" dxfId="146" priority="17" operator="notEqual">
      <formula>#REF!</formula>
    </cfRule>
  </conditionalFormatting>
  <conditionalFormatting sqref="V18">
    <cfRule type="cellIs" dxfId="145" priority="8" operator="notEqual">
      <formula>#REF!</formula>
    </cfRule>
  </conditionalFormatting>
  <conditionalFormatting sqref="V18:V77">
    <cfRule type="cellIs" dxfId="144" priority="7" operator="greaterThan">
      <formula>16</formula>
    </cfRule>
  </conditionalFormatting>
  <conditionalFormatting sqref="V19">
    <cfRule type="cellIs" dxfId="143" priority="19" operator="notEqual">
      <formula>#REF!</formula>
    </cfRule>
  </conditionalFormatting>
  <conditionalFormatting sqref="V20:V77">
    <cfRule type="cellIs" dxfId="142" priority="16" operator="notEqual">
      <formula>#REF!</formula>
    </cfRule>
  </conditionalFormatting>
  <conditionalFormatting sqref="W19">
    <cfRule type="cellIs" dxfId="141" priority="20" operator="greaterThan">
      <formula>16</formula>
    </cfRule>
    <cfRule type="cellIs" dxfId="140" priority="21" operator="notEqual">
      <formula>#REF!</formula>
    </cfRule>
  </conditionalFormatting>
  <conditionalFormatting sqref="W18:Z18">
    <cfRule type="cellIs" dxfId="139" priority="9" operator="greaterThan">
      <formula>16</formula>
    </cfRule>
    <cfRule type="cellIs" dxfId="138" priority="10" operator="notEqual">
      <formula>#REF!</formula>
    </cfRule>
  </conditionalFormatting>
  <conditionalFormatting sqref="Z19:Z79">
    <cfRule type="expression" dxfId="137" priority="1">
      <formula>$Z19&gt;$T19</formula>
    </cfRule>
  </conditionalFormatting>
  <conditionalFormatting sqref="AB19:AB77">
    <cfRule type="expression" dxfId="136" priority="3">
      <formula>($AB19)&gt;=0.03</formula>
    </cfRule>
  </conditionalFormatting>
  <conditionalFormatting sqref="AJ18:AJ78">
    <cfRule type="cellIs" dxfId="135" priority="4" operator="equal">
      <formula>0</formula>
    </cfRule>
  </conditionalFormatting>
  <dataValidations disablePrompts="1" count="16">
    <dataValidation type="list" allowBlank="1" showInputMessage="1" showErrorMessage="1" sqref="O19:O78" xr:uid="{5186287D-A836-4FE1-A2EA-0E992D40D852}">
      <formula1>"10,16,20,25,32,40,50,63,70,80,100,125,150,160,200,225,250,300,315,350,400,450,600,630,800,1000,1200,1250,1500,1600,2000,2600,3000,3200,4000,6000,EXISTENTE"</formula1>
    </dataValidation>
    <dataValidation type="list" showInputMessage="1" showErrorMessage="1" errorTitle="Erro" error="Selecione um sistema" promptTitle="Sistema de alimentação" prompt="Selecione o sistema de alimentação" sqref="G19:G78" xr:uid="{67F31B15-9A84-40E8-9A00-54F663EB17D8}">
      <formula1>ALI</formula1>
    </dataValidation>
    <dataValidation type="list" allowBlank="1" showInputMessage="1" showErrorMessage="1" sqref="W20:W77" xr:uid="{41CBBD59-81B3-4D8B-9D81-1A6F5412E28F}">
      <formula1>"25A 30mA,40A 30mA,63A 30mA,80A 30mA"</formula1>
    </dataValidation>
    <dataValidation type="list" allowBlank="1" showInputMessage="1" showErrorMessage="1" sqref="W19" xr:uid="{A2795EB3-624D-4097-AF78-0BF446B8101A}">
      <formula1>",25A 30mA,40A 30mA,63A 30mA,80A 30mA"</formula1>
    </dataValidation>
    <dataValidation type="list" allowBlank="1" showInputMessage="1" showErrorMessage="1" sqref="V19:V77" xr:uid="{6817CDB9-27AA-42A5-96D2-848E966CD6CD}">
      <formula1>"2P,4P"</formula1>
    </dataValidation>
    <dataValidation type="list" showInputMessage="1" showErrorMessage="1" sqref="I5:J5" xr:uid="{96859DC4-303E-48AA-82DC-178A532961D0}">
      <formula1>"EXISTENTE,16,20,25,32,40,50,63,70,80,100,125,150,160,200,225,250,300,315,350,400,450,600,630,800,1000,1200,1250,1500,1600,2000,2600,3000,3200,4000,6000"</formula1>
    </dataValidation>
    <dataValidation type="list" allowBlank="1" showInputMessage="1" showErrorMessage="1" sqref="P5 P7" xr:uid="{019B4750-01BC-483B-88F5-0E5D8F26974A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"2,5",4,6,10,16,25,35,50,70,95,120,150,185,240,EXISTENTE,</x12ac:list>
        </mc:Choice>
        <mc:Fallback>
          <formula1>"2,5,4,6,10,16,25,35,50,70,95,120,150,185,240,EXISTENTE,"</formula1>
        </mc:Fallback>
      </mc:AlternateContent>
    </dataValidation>
    <dataValidation type="list" allowBlank="1" showInputMessage="1" showErrorMessage="1" sqref="I4:J4" xr:uid="{789CBFDA-D989-4957-94CD-9E7C27288E44}">
      <formula1>"F+N,2F,3F"</formula1>
    </dataValidation>
    <dataValidation type="list" allowBlank="1" showInputMessage="1" showErrorMessage="1" sqref="L12:M13" xr:uid="{9E58F1EC-D0DA-43ED-8C50-F123EB04242F}">
      <formula1>"SOBREPOR,EMBUTIR"</formula1>
    </dataValidation>
    <dataValidation type="list" allowBlank="1" showInputMessage="1" showErrorMessage="1" sqref="P9" xr:uid="{0800BEE5-A1AB-4826-B0B6-E305267D66CE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</x12ac:list>
        </mc:Choice>
        <mc:Fallback>
          <formula1>"2,5,4,6,10,16,25,35,50,70,95,120,150,185,240,EXISTENTE"</formula1>
        </mc:Fallback>
      </mc:AlternateContent>
    </dataValidation>
    <dataValidation type="list" allowBlank="1" showInputMessage="1" showErrorMessage="1" sqref="O11:P11" xr:uid="{F5A7809D-DD31-4CF2-90DD-017C765F5EAB}">
      <formula1>"EXISTENTE,EPR,PVC,"</formula1>
    </dataValidation>
    <dataValidation type="list" allowBlank="1" showInputMessage="1" showErrorMessage="1" sqref="U19:U77" xr:uid="{A211DD83-06F9-4AC1-88C2-B952658278A3}">
      <formula1>"SIM,NÃO,"</formula1>
    </dataValidation>
    <dataValidation type="decimal" allowBlank="1" showInputMessage="1" showErrorMessage="1" sqref="AC19:AC77" xr:uid="{70B08A39-CCB0-40C3-925C-8CCD6FE46A4B}">
      <formula1>0</formula1>
      <formula2>100</formula2>
    </dataValidation>
    <dataValidation type="decimal" operator="lessThanOrEqual" allowBlank="1" showInputMessage="1" showErrorMessage="1" sqref="K19:K77" xr:uid="{EA67E099-A2E5-4162-B221-62BB9E6B46BB}">
      <formula1>1</formula1>
    </dataValidation>
    <dataValidation type="list" allowBlank="1" showInputMessage="1" showErrorMessage="1" promptTitle="curva " prompt="selecione a curva do disjuntor" sqref="P19:P77" xr:uid="{0EA92D09-BC12-4C72-A1F7-947EE0E10025}">
      <formula1>cu</formula1>
    </dataValidation>
    <dataValidation type="list" showInputMessage="1" showErrorMessage="1" promptTitle="Isolação do cabo" prompt="Selecione o tipo de isolação_x000a_PVC = 70ºC_x000a_EPR = 90ºC" sqref="R19:R78 S78:AA78" xr:uid="{232F39CA-A844-4872-A432-63599FF06EFD}">
      <formula1>iso</formula1>
    </dataValidation>
  </dataValidations>
  <pageMargins left="0.25" right="0.25" top="0.75" bottom="0.75" header="0.3" footer="0.3"/>
  <pageSetup paperSize="9" scale="74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0969C0F-C79C-4FA2-AE79-28850A4D798C}">
          <x14:formula1>
            <xm:f>Dados!$Z$3:$AD$3</xm:f>
          </x14:formula1>
          <xm:sqref>Y19:Y77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D68E-6ECB-4BA3-A9C6-A517861BDB6C}">
  <sheetPr>
    <tabColor rgb="FFFF9900"/>
    <pageSetUpPr fitToPage="1"/>
  </sheetPr>
  <dimension ref="A1:AK90"/>
  <sheetViews>
    <sheetView zoomScaleNormal="100" zoomScaleSheetLayoutView="82" workbookViewId="0">
      <selection activeCell="G1" sqref="G1:I1048576"/>
    </sheetView>
  </sheetViews>
  <sheetFormatPr defaultRowHeight="12.75" outlineLevelCol="2"/>
  <cols>
    <col min="1" max="3" width="2.5703125" style="10" customWidth="1"/>
    <col min="4" max="4" width="11.7109375" style="10" hidden="1" customWidth="1"/>
    <col min="5" max="5" width="11.7109375" style="10" customWidth="1"/>
    <col min="6" max="6" width="33.42578125" style="10" customWidth="1"/>
    <col min="7" max="7" width="12.42578125" style="10" customWidth="1"/>
    <col min="8" max="8" width="2.28515625" style="10" hidden="1" customWidth="1"/>
    <col min="9" max="9" width="11.7109375" style="10" customWidth="1"/>
    <col min="10" max="10" width="12.7109375" style="10" customWidth="1"/>
    <col min="11" max="11" width="8.140625" style="10" customWidth="1"/>
    <col min="12" max="14" width="10" style="10" customWidth="1"/>
    <col min="15" max="15" width="10.5703125" style="10" customWidth="1"/>
    <col min="16" max="16" width="12.7109375" style="10" customWidth="1"/>
    <col min="17" max="17" width="11.140625" style="10" customWidth="1"/>
    <col min="18" max="18" width="18" style="10" bestFit="1" customWidth="1"/>
    <col min="19" max="20" width="12.7109375" style="10" customWidth="1"/>
    <col min="21" max="23" width="12.7109375" style="10" customWidth="1" outlineLevel="1"/>
    <col min="24" max="24" width="9.140625" style="10" customWidth="1" outlineLevel="2"/>
    <col min="25" max="25" width="69.5703125" style="10" bestFit="1" customWidth="1" outlineLevel="2"/>
    <col min="26" max="26" width="12.5703125" style="10" bestFit="1" customWidth="1" outlineLevel="2"/>
    <col min="27" max="27" width="9.140625" style="10" customWidth="1" outlineLevel="1"/>
    <col min="28" max="28" width="12.28515625" style="10" customWidth="1"/>
    <col min="29" max="29" width="12.7109375" style="10" customWidth="1"/>
    <col min="30" max="33" width="12.7109375" style="10" customWidth="1" outlineLevel="1"/>
    <col min="34" max="37" width="9.140625" style="10" customWidth="1" outlineLevel="1"/>
    <col min="38" max="16384" width="9.140625" style="10"/>
  </cols>
  <sheetData>
    <row r="1" spans="1:36" ht="13.5" thickBot="1">
      <c r="E1" s="211" t="str">
        <f>CONCATENATE("VEM DO QUADRO ",INDEX(ALIMENTADORES!$1:$1048576,MATCH(NOME_DO_QUADRO,ALIMENTADORES!C:C,0),2))</f>
        <v xml:space="preserve">VEM DO QUADRO </v>
      </c>
      <c r="F1" s="212"/>
    </row>
    <row r="2" spans="1:36">
      <c r="L2" s="265" t="s">
        <v>25</v>
      </c>
      <c r="M2" s="172"/>
    </row>
    <row r="3" spans="1:36" ht="13.5" thickBot="1">
      <c r="L3" s="173"/>
      <c r="M3" s="173"/>
      <c r="N3" s="98" t="str">
        <f>VLOOKUP($L$5,ALIMENTADORES!$C$4:$N$13,12,FALSE)</f>
        <v/>
      </c>
    </row>
    <row r="4" spans="1:36" ht="17.25" customHeight="1">
      <c r="A4" s="227" t="s">
        <v>26</v>
      </c>
      <c r="B4" s="228"/>
      <c r="C4" s="228"/>
      <c r="D4" s="229"/>
      <c r="E4" s="187" t="s">
        <v>27</v>
      </c>
      <c r="F4" s="266" t="s">
        <v>28</v>
      </c>
      <c r="G4" s="236">
        <v>380</v>
      </c>
      <c r="H4" s="11">
        <f>IF(I4="F+N",G4,G4/SQRT(3))</f>
        <v>219.39310229205779</v>
      </c>
      <c r="I4" s="238" t="s">
        <v>29</v>
      </c>
      <c r="J4" s="239"/>
      <c r="K4" s="187" t="s">
        <v>30</v>
      </c>
      <c r="L4" s="214" t="s">
        <v>31</v>
      </c>
      <c r="M4" s="215"/>
      <c r="N4" s="187" t="s">
        <v>32</v>
      </c>
      <c r="O4" s="12" t="s">
        <v>33</v>
      </c>
      <c r="P4" s="267" t="s">
        <v>34</v>
      </c>
      <c r="Q4" s="187" t="s">
        <v>35</v>
      </c>
      <c r="R4" s="198" t="s">
        <v>36</v>
      </c>
      <c r="S4" s="190" t="s">
        <v>37</v>
      </c>
      <c r="T4" s="191">
        <v>54</v>
      </c>
    </row>
    <row r="5" spans="1:36" ht="15.75" customHeight="1" thickBot="1">
      <c r="A5" s="230"/>
      <c r="B5" s="231"/>
      <c r="C5" s="231"/>
      <c r="D5" s="232"/>
      <c r="E5" s="188"/>
      <c r="F5" s="13" t="s">
        <v>38</v>
      </c>
      <c r="G5" s="237"/>
      <c r="H5" s="14"/>
      <c r="I5" s="240"/>
      <c r="J5" s="241"/>
      <c r="K5" s="188"/>
      <c r="L5" s="204"/>
      <c r="M5" s="205"/>
      <c r="N5" s="188"/>
      <c r="O5" s="15">
        <v>3</v>
      </c>
      <c r="P5" s="16"/>
      <c r="Q5" s="188"/>
      <c r="R5" s="203"/>
      <c r="S5" s="185"/>
      <c r="T5" s="186"/>
    </row>
    <row r="6" spans="1:36" ht="15" customHeight="1" thickBot="1">
      <c r="A6" s="230"/>
      <c r="B6" s="231"/>
      <c r="C6" s="231"/>
      <c r="D6" s="232"/>
      <c r="E6" s="188"/>
      <c r="F6" s="17"/>
      <c r="G6" s="18"/>
      <c r="H6" s="18"/>
      <c r="I6" s="18"/>
      <c r="J6" s="19"/>
      <c r="K6" s="188"/>
      <c r="L6" s="204"/>
      <c r="M6" s="205"/>
      <c r="N6" s="188"/>
      <c r="O6" s="20" t="s">
        <v>33</v>
      </c>
      <c r="P6" s="268" t="s">
        <v>40</v>
      </c>
      <c r="Q6" s="188"/>
      <c r="R6" s="203"/>
      <c r="S6" s="185" t="s">
        <v>41</v>
      </c>
      <c r="T6" s="216"/>
      <c r="U6" s="210" t="s">
        <v>43</v>
      </c>
      <c r="V6" s="210" t="s">
        <v>44</v>
      </c>
      <c r="W6" s="210"/>
    </row>
    <row r="7" spans="1:36" ht="13.5" customHeight="1" thickBot="1">
      <c r="A7" s="230"/>
      <c r="B7" s="231"/>
      <c r="C7" s="231"/>
      <c r="D7" s="232"/>
      <c r="E7" s="188"/>
      <c r="F7" s="21" t="s">
        <v>45</v>
      </c>
      <c r="G7" s="40"/>
      <c r="I7" s="242" t="e">
        <f>(MAX(L79:N79)*IF(I4="3F",3,IF(I4="2F",2,IF(I4="F+N",1)))*G10+I9)/G4/IF(I4="3F",SQRT(3),1)</f>
        <v>#DIV/0!</v>
      </c>
      <c r="J7" s="243"/>
      <c r="K7" s="188"/>
      <c r="L7" s="206"/>
      <c r="M7" s="207"/>
      <c r="N7" s="188"/>
      <c r="O7" s="15">
        <v>1</v>
      </c>
      <c r="P7" s="16"/>
      <c r="Q7" s="188"/>
      <c r="R7" s="217"/>
      <c r="S7" s="185"/>
      <c r="T7" s="216"/>
      <c r="U7" s="210"/>
      <c r="V7" s="210"/>
      <c r="W7" s="210"/>
    </row>
    <row r="8" spans="1:36">
      <c r="A8" s="230"/>
      <c r="B8" s="231"/>
      <c r="C8" s="231"/>
      <c r="D8" s="232"/>
      <c r="E8" s="188"/>
      <c r="F8" s="22" t="s">
        <v>47</v>
      </c>
      <c r="G8" s="46"/>
      <c r="H8" s="47"/>
      <c r="I8" s="225" t="e">
        <f>SUM(I9:J10)</f>
        <v>#DIV/0!</v>
      </c>
      <c r="J8" s="226"/>
      <c r="K8" s="188"/>
      <c r="L8" s="201" t="s">
        <v>48</v>
      </c>
      <c r="M8" s="202"/>
      <c r="N8" s="188"/>
      <c r="O8" s="20" t="s">
        <v>33</v>
      </c>
      <c r="P8" s="268" t="s">
        <v>49</v>
      </c>
      <c r="Q8" s="188"/>
      <c r="R8" s="217"/>
      <c r="S8" s="185" t="s">
        <v>50</v>
      </c>
      <c r="T8" s="186" t="s">
        <v>51</v>
      </c>
      <c r="AB8" s="23"/>
    </row>
    <row r="9" spans="1:36" ht="12.75" customHeight="1">
      <c r="A9" s="230"/>
      <c r="B9" s="231"/>
      <c r="C9" s="231"/>
      <c r="D9" s="232"/>
      <c r="E9" s="188"/>
      <c r="F9" s="22" t="s">
        <v>52</v>
      </c>
      <c r="G9" s="48"/>
      <c r="H9" s="47"/>
      <c r="I9" s="225" t="e">
        <f>I10*G9</f>
        <v>#DIV/0!</v>
      </c>
      <c r="J9" s="226"/>
      <c r="K9" s="188"/>
      <c r="L9" s="181"/>
      <c r="M9" s="182"/>
      <c r="N9" s="188"/>
      <c r="O9" s="15">
        <v>1</v>
      </c>
      <c r="P9" s="16"/>
      <c r="Q9" s="188"/>
      <c r="R9" s="217"/>
      <c r="S9" s="185"/>
      <c r="T9" s="186"/>
      <c r="AB9" s="269"/>
    </row>
    <row r="10" spans="1:36" ht="13.5" customHeight="1" thickBot="1">
      <c r="A10" s="230"/>
      <c r="B10" s="231"/>
      <c r="C10" s="231"/>
      <c r="D10" s="232"/>
      <c r="E10" s="188"/>
      <c r="F10" s="22" t="s">
        <v>54</v>
      </c>
      <c r="G10" s="48" t="e">
        <f>AC79</f>
        <v>#DIV/0!</v>
      </c>
      <c r="H10" s="47"/>
      <c r="I10" s="225" t="e">
        <f>I11*G10</f>
        <v>#DIV/0!</v>
      </c>
      <c r="J10" s="226"/>
      <c r="K10" s="188"/>
      <c r="L10" s="181"/>
      <c r="M10" s="182"/>
      <c r="N10" s="188"/>
      <c r="O10" s="185" t="s">
        <v>55</v>
      </c>
      <c r="P10" s="186"/>
      <c r="Q10" s="188"/>
      <c r="R10" s="217"/>
      <c r="S10" s="185" t="s">
        <v>56</v>
      </c>
      <c r="T10" s="186" t="s">
        <v>57</v>
      </c>
    </row>
    <row r="11" spans="1:36" ht="15">
      <c r="A11" s="230"/>
      <c r="B11" s="231"/>
      <c r="C11" s="231"/>
      <c r="D11" s="232"/>
      <c r="E11" s="188"/>
      <c r="F11" s="22" t="s">
        <v>58</v>
      </c>
      <c r="G11" s="46"/>
      <c r="H11" s="47"/>
      <c r="I11" s="225">
        <f>SUM(I18:I77)</f>
        <v>0</v>
      </c>
      <c r="J11" s="226"/>
      <c r="K11" s="188"/>
      <c r="L11" s="201" t="s">
        <v>59</v>
      </c>
      <c r="M11" s="202"/>
      <c r="N11" s="188"/>
      <c r="O11" s="192" t="s">
        <v>60</v>
      </c>
      <c r="P11" s="193"/>
      <c r="Q11" s="188"/>
      <c r="R11" s="217"/>
      <c r="S11" s="185"/>
      <c r="T11" s="186"/>
    </row>
    <row r="12" spans="1:36">
      <c r="A12" s="230"/>
      <c r="B12" s="231"/>
      <c r="C12" s="231"/>
      <c r="D12" s="232"/>
      <c r="E12" s="188"/>
      <c r="F12" s="22" t="s">
        <v>61</v>
      </c>
      <c r="G12" s="46"/>
      <c r="H12" s="47"/>
      <c r="I12" s="221" t="e">
        <f>AVERAGE(L79:N79)/MAX(L79:N79)</f>
        <v>#DIV/0!</v>
      </c>
      <c r="J12" s="222"/>
      <c r="K12" s="188"/>
      <c r="L12" s="181"/>
      <c r="M12" s="182"/>
      <c r="N12" s="188"/>
      <c r="O12" s="185" t="s">
        <v>63</v>
      </c>
      <c r="P12" s="186"/>
      <c r="Q12" s="188"/>
      <c r="R12" s="217"/>
      <c r="S12" s="185" t="s">
        <v>64</v>
      </c>
      <c r="T12" s="186" t="s">
        <v>65</v>
      </c>
    </row>
    <row r="13" spans="1:36" ht="13.5" thickBot="1">
      <c r="A13" s="230"/>
      <c r="B13" s="231"/>
      <c r="C13" s="231"/>
      <c r="D13" s="232"/>
      <c r="E13" s="189"/>
      <c r="F13" s="24" t="s">
        <v>66</v>
      </c>
      <c r="G13" s="49"/>
      <c r="H13" s="14"/>
      <c r="I13" s="223" t="e">
        <f>SUM($J79)/SUM($L79:$N79)</f>
        <v>#DIV/0!</v>
      </c>
      <c r="J13" s="224"/>
      <c r="K13" s="189"/>
      <c r="L13" s="183"/>
      <c r="M13" s="184"/>
      <c r="N13" s="189"/>
      <c r="O13" s="25"/>
      <c r="P13" s="26" t="s">
        <v>67</v>
      </c>
      <c r="Q13" s="189"/>
      <c r="R13" s="218"/>
      <c r="S13" s="219"/>
      <c r="T13" s="220"/>
    </row>
    <row r="14" spans="1:36" ht="13.5" thickBot="1">
      <c r="A14" s="230"/>
      <c r="B14" s="231"/>
      <c r="C14" s="231"/>
      <c r="D14" s="232"/>
      <c r="T14" s="27"/>
    </row>
    <row r="15" spans="1:36" ht="13.5" hidden="1" customHeight="1">
      <c r="A15" s="233"/>
      <c r="B15" s="234"/>
      <c r="C15" s="234"/>
      <c r="D15" s="235"/>
      <c r="G15" s="244" t="s">
        <v>68</v>
      </c>
      <c r="H15" s="244"/>
      <c r="I15" s="244"/>
      <c r="J15" s="244"/>
      <c r="K15" s="244"/>
      <c r="L15" s="28" t="e">
        <f>#REF!</f>
        <v>#REF!</v>
      </c>
      <c r="M15" s="28" t="e">
        <f>#REF!</f>
        <v>#REF!</v>
      </c>
      <c r="N15" s="28" t="e">
        <f>#REF!</f>
        <v>#REF!</v>
      </c>
      <c r="O15" s="244" t="s">
        <v>69</v>
      </c>
      <c r="P15" s="244"/>
      <c r="Q15" s="244"/>
      <c r="R15" s="244"/>
      <c r="S15" s="244"/>
      <c r="T15" s="245"/>
    </row>
    <row r="16" spans="1:36" ht="13.5" customHeight="1" thickBot="1">
      <c r="A16" s="246" t="s">
        <v>70</v>
      </c>
      <c r="B16" s="194" t="s">
        <v>71</v>
      </c>
      <c r="C16" s="194" t="s">
        <v>72</v>
      </c>
      <c r="D16" s="29"/>
      <c r="E16" s="196" t="s">
        <v>73</v>
      </c>
      <c r="F16" s="198" t="s">
        <v>74</v>
      </c>
      <c r="G16" s="171" t="s">
        <v>75</v>
      </c>
      <c r="H16" s="30"/>
      <c r="I16" s="174" t="s">
        <v>76</v>
      </c>
      <c r="J16" s="174"/>
      <c r="K16" s="30"/>
      <c r="L16" s="174" t="s">
        <v>77</v>
      </c>
      <c r="M16" s="174"/>
      <c r="N16" s="174"/>
      <c r="O16" s="200" t="s">
        <v>78</v>
      </c>
      <c r="P16" s="175" t="s">
        <v>79</v>
      </c>
      <c r="Q16" s="200" t="s">
        <v>80</v>
      </c>
      <c r="R16" s="171" t="s">
        <v>81</v>
      </c>
      <c r="S16" s="171" t="s">
        <v>82</v>
      </c>
      <c r="T16" s="208" t="s">
        <v>83</v>
      </c>
      <c r="U16" s="208" t="s">
        <v>84</v>
      </c>
      <c r="V16" s="209"/>
      <c r="W16" s="170"/>
      <c r="X16" s="208" t="s">
        <v>85</v>
      </c>
      <c r="Y16" s="209"/>
      <c r="Z16" s="170"/>
      <c r="AA16" s="177" t="s">
        <v>86</v>
      </c>
      <c r="AB16" s="179" t="s">
        <v>87</v>
      </c>
      <c r="AC16" s="175" t="s">
        <v>88</v>
      </c>
      <c r="AD16" s="175" t="s">
        <v>89</v>
      </c>
      <c r="AE16" s="174" t="s">
        <v>90</v>
      </c>
      <c r="AF16" s="174"/>
      <c r="AG16" s="174"/>
      <c r="AH16" s="170" t="s">
        <v>91</v>
      </c>
      <c r="AI16" s="170" t="s">
        <v>8</v>
      </c>
      <c r="AJ16" s="171" t="s">
        <v>9</v>
      </c>
    </row>
    <row r="17" spans="1:36" ht="13.5" thickBot="1">
      <c r="A17" s="247"/>
      <c r="B17" s="195"/>
      <c r="C17" s="195"/>
      <c r="D17" s="31"/>
      <c r="E17" s="197"/>
      <c r="F17" s="199"/>
      <c r="G17" s="171"/>
      <c r="H17" s="32" t="s">
        <v>92</v>
      </c>
      <c r="I17" s="32" t="s">
        <v>93</v>
      </c>
      <c r="J17" s="32" t="s">
        <v>92</v>
      </c>
      <c r="K17" s="32" t="s">
        <v>94</v>
      </c>
      <c r="L17" s="32" t="s">
        <v>70</v>
      </c>
      <c r="M17" s="32" t="s">
        <v>71</v>
      </c>
      <c r="N17" s="32" t="s">
        <v>72</v>
      </c>
      <c r="O17" s="200"/>
      <c r="P17" s="176"/>
      <c r="Q17" s="200"/>
      <c r="R17" s="171"/>
      <c r="S17" s="171"/>
      <c r="T17" s="208"/>
      <c r="U17" s="32" t="s">
        <v>95</v>
      </c>
      <c r="V17" s="33" t="s">
        <v>96</v>
      </c>
      <c r="W17" s="33" t="s">
        <v>97</v>
      </c>
      <c r="X17" s="32" t="s">
        <v>98</v>
      </c>
      <c r="Y17" s="33" t="s">
        <v>99</v>
      </c>
      <c r="Z17" s="33" t="s">
        <v>100</v>
      </c>
      <c r="AA17" s="178"/>
      <c r="AB17" s="180"/>
      <c r="AC17" s="176"/>
      <c r="AD17" s="176"/>
      <c r="AE17" s="32" t="s">
        <v>70</v>
      </c>
      <c r="AF17" s="32" t="s">
        <v>71</v>
      </c>
      <c r="AG17" s="32" t="s">
        <v>72</v>
      </c>
      <c r="AH17" s="170"/>
      <c r="AI17" s="170"/>
      <c r="AJ17" s="171"/>
    </row>
    <row r="18" spans="1:36" ht="13.5" hidden="1" customHeight="1" thickBot="1">
      <c r="A18" s="43" t="s">
        <v>101</v>
      </c>
      <c r="B18" s="43" t="s">
        <v>102</v>
      </c>
      <c r="C18" s="43" t="s">
        <v>103</v>
      </c>
      <c r="D18" s="43" t="s">
        <v>104</v>
      </c>
      <c r="E18" s="44" t="s">
        <v>105</v>
      </c>
      <c r="F18" s="44" t="s">
        <v>106</v>
      </c>
      <c r="G18" s="44" t="s">
        <v>107</v>
      </c>
      <c r="H18" s="44" t="s">
        <v>108</v>
      </c>
      <c r="I18" s="45" t="s">
        <v>109</v>
      </c>
      <c r="J18" s="35" t="s">
        <v>110</v>
      </c>
      <c r="K18" s="36" t="s">
        <v>111</v>
      </c>
      <c r="L18" s="34" t="s">
        <v>112</v>
      </c>
      <c r="M18" s="34" t="s">
        <v>113</v>
      </c>
      <c r="N18" s="34" t="s">
        <v>114</v>
      </c>
      <c r="O18" s="36" t="s">
        <v>115</v>
      </c>
      <c r="P18" s="36" t="s">
        <v>116</v>
      </c>
      <c r="Q18" s="36" t="s">
        <v>117</v>
      </c>
      <c r="R18" s="36" t="s">
        <v>118</v>
      </c>
      <c r="S18" s="37" t="s">
        <v>119</v>
      </c>
      <c r="T18" s="36" t="s">
        <v>120</v>
      </c>
      <c r="U18" s="142" t="s">
        <v>121</v>
      </c>
      <c r="V18" s="50" t="s">
        <v>122</v>
      </c>
      <c r="W18" s="139" t="s">
        <v>123</v>
      </c>
      <c r="X18" s="138" t="s">
        <v>124</v>
      </c>
      <c r="Y18" s="136" t="s">
        <v>125</v>
      </c>
      <c r="Z18" s="139" t="s">
        <v>126</v>
      </c>
      <c r="AA18" s="38" t="s">
        <v>127</v>
      </c>
      <c r="AB18" s="84" t="s">
        <v>128</v>
      </c>
      <c r="AC18" s="39" t="s">
        <v>129</v>
      </c>
      <c r="AD18" s="82" t="s">
        <v>130</v>
      </c>
      <c r="AE18" s="36" t="s">
        <v>131</v>
      </c>
      <c r="AF18" s="36" t="s">
        <v>132</v>
      </c>
      <c r="AG18" s="36" t="s">
        <v>133</v>
      </c>
      <c r="AH18" s="86"/>
      <c r="AI18" s="87"/>
      <c r="AJ18" s="88"/>
    </row>
    <row r="19" spans="1:36" customFormat="1">
      <c r="A19" s="52" t="s">
        <v>134</v>
      </c>
      <c r="B19" s="52"/>
      <c r="C19" s="52"/>
      <c r="D19" s="52"/>
      <c r="E19" s="53"/>
      <c r="F19" s="53"/>
      <c r="G19" s="53" t="s">
        <v>137</v>
      </c>
      <c r="H19" s="53"/>
      <c r="I19" s="54"/>
      <c r="J19" s="55">
        <f t="shared" ref="J19:J77" si="0">I19*K19</f>
        <v>0</v>
      </c>
      <c r="K19" s="56">
        <v>0.92</v>
      </c>
      <c r="L19" s="57">
        <f t="shared" ref="L19:L77" si="1">IF(A19="",0,$I19/COUNTA(A19:C19))</f>
        <v>0</v>
      </c>
      <c r="M19" s="57">
        <f t="shared" ref="M19:M77" si="2">IF(B19="",0,$I19/COUNTA(A19:C19))</f>
        <v>0</v>
      </c>
      <c r="N19" s="57">
        <f t="shared" ref="N19:N77" si="3">IF(C19="",0,$I19/COUNTA(A19:C19))</f>
        <v>0</v>
      </c>
      <c r="O19" s="56"/>
      <c r="P19" s="56" t="s">
        <v>138</v>
      </c>
      <c r="Q19" s="56" t="e">
        <f>IF(R19="PVC",VLOOKUP(O19,Dados!C$3:D$19,2),IF(R19="EPR",VLOOKUP(O19,Dados!C$22:D$38,2)))</f>
        <v>#N/A</v>
      </c>
      <c r="R19" s="56" t="s">
        <v>139</v>
      </c>
      <c r="S19" s="51">
        <f>IF(G19="F+N",I19/H$4,IF(G19="2F",I19/G$4, IF(G19="3F",I19/G$4/SQRT(3))))</f>
        <v>0</v>
      </c>
      <c r="T19" s="56" t="e">
        <f>IF(R19="PVC",VLOOKUP(Q19,Dados!L$3:M$18,2),IF(R19="EPR",VLOOKUP(Q19,Dados!L$3:N$18,3)))</f>
        <v>#N/A</v>
      </c>
      <c r="U19" s="143" t="s">
        <v>140</v>
      </c>
      <c r="V19" s="58"/>
      <c r="W19" s="144"/>
      <c r="X19" s="140"/>
      <c r="Y19" s="137"/>
      <c r="Z19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19" s="85"/>
      <c r="AB19" s="101" t="e">
        <f t="shared" ref="AB19:AB77" si="4">S19*AA19*AI19/AH19/AJ19/1000</f>
        <v>#N/A</v>
      </c>
      <c r="AC19" s="60">
        <v>1</v>
      </c>
      <c r="AD19" s="51">
        <f t="shared" ref="AD19:AD77" si="5">IF(G19="F+N",I19/H$4,IF(G19="2F",I19/G$4, IF(G19="3F",I19/G$4/SQRT(3))))*AC19</f>
        <v>0</v>
      </c>
      <c r="AE19" s="56">
        <f t="shared" ref="AE19:AE77" si="6">IF(A19="",0,$I19/COUNTA(A19:C19)*$AC19)</f>
        <v>0</v>
      </c>
      <c r="AF19" s="56">
        <f t="shared" ref="AF19:AF77" si="7">IF(B19="",0,$I19/COUNTA(A19:C19)*$AC19)</f>
        <v>0</v>
      </c>
      <c r="AG19" s="56">
        <f t="shared" ref="AG19:AG77" si="8">IF(C19="",0,$I19/COUNTA(A19:C19)*$AC19)</f>
        <v>0</v>
      </c>
      <c r="AH19" s="89">
        <f t="shared" ref="AH19:AH77" si="9">IF(G19="3F",$G$4,IF(G19="2F",$G$4,IF(G19="F+N",$H$4)))</f>
        <v>219.39310229205779</v>
      </c>
      <c r="AI19" s="90" t="e">
        <f>VLOOKUP(Q19,Dados!$T$4:$U$19,2,FALSE)</f>
        <v>#N/A</v>
      </c>
      <c r="AJ19" s="91">
        <v>1</v>
      </c>
    </row>
    <row r="20" spans="1:36" customFormat="1">
      <c r="A20" s="61"/>
      <c r="B20" s="52" t="s">
        <v>134</v>
      </c>
      <c r="C20" s="52"/>
      <c r="D20" s="52"/>
      <c r="E20" s="53"/>
      <c r="F20" s="53"/>
      <c r="G20" s="53" t="s">
        <v>137</v>
      </c>
      <c r="H20" s="53"/>
      <c r="I20" s="54"/>
      <c r="J20" s="55">
        <f t="shared" si="0"/>
        <v>0</v>
      </c>
      <c r="K20" s="56">
        <v>0.92</v>
      </c>
      <c r="L20" s="57">
        <f t="shared" si="1"/>
        <v>0</v>
      </c>
      <c r="M20" s="57">
        <f t="shared" si="2"/>
        <v>0</v>
      </c>
      <c r="N20" s="57">
        <f t="shared" si="3"/>
        <v>0</v>
      </c>
      <c r="O20" s="56"/>
      <c r="P20" s="56" t="s">
        <v>138</v>
      </c>
      <c r="Q20" s="56" t="e">
        <f>IF(R20="PVC",VLOOKUP(O20,Dados!C$3:D$19,2),IF(R20="EPR",VLOOKUP(O20,Dados!C$22:D$38,2)))</f>
        <v>#N/A</v>
      </c>
      <c r="R20" s="56" t="s">
        <v>139</v>
      </c>
      <c r="S20" s="51">
        <f t="shared" ref="S20:S77" si="10">IF(G20="F+N",I20/H$4,IF(G20="2F",I20/G$4, IF(G20="3F",I20/G$4/SQRT(3))))</f>
        <v>0</v>
      </c>
      <c r="T20" s="56" t="e">
        <f>IF(R20="PVC",VLOOKUP(Q20,Dados!L$3:M$18,2),IF(R20="EPR",VLOOKUP(Q20,Dados!L$3:N$18,3)))</f>
        <v>#N/A</v>
      </c>
      <c r="U20" s="143" t="s">
        <v>140</v>
      </c>
      <c r="V20" s="62"/>
      <c r="W20" s="145"/>
      <c r="X20" s="140"/>
      <c r="Y20" s="137"/>
      <c r="Z20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0" s="63"/>
      <c r="AB20" s="101" t="e">
        <f t="shared" si="4"/>
        <v>#N/A</v>
      </c>
      <c r="AC20" s="60">
        <v>1</v>
      </c>
      <c r="AD20" s="51">
        <f t="shared" si="5"/>
        <v>0</v>
      </c>
      <c r="AE20" s="56">
        <f t="shared" si="6"/>
        <v>0</v>
      </c>
      <c r="AF20" s="56">
        <f t="shared" si="7"/>
        <v>0</v>
      </c>
      <c r="AG20" s="56">
        <f t="shared" si="8"/>
        <v>0</v>
      </c>
      <c r="AH20" s="89">
        <f t="shared" si="9"/>
        <v>219.39310229205779</v>
      </c>
      <c r="AI20" s="90" t="e">
        <f>VLOOKUP(Q20,Dados!$T$4:$U$19,2,FALSE)</f>
        <v>#N/A</v>
      </c>
      <c r="AJ20" s="91">
        <v>1</v>
      </c>
    </row>
    <row r="21" spans="1:36" customFormat="1">
      <c r="A21" s="52"/>
      <c r="B21" s="52"/>
      <c r="C21" s="52" t="s">
        <v>134</v>
      </c>
      <c r="D21" s="52"/>
      <c r="E21" s="53"/>
      <c r="F21" s="53"/>
      <c r="G21" s="53" t="s">
        <v>137</v>
      </c>
      <c r="H21" s="53"/>
      <c r="I21" s="54"/>
      <c r="J21" s="55">
        <f t="shared" si="0"/>
        <v>0</v>
      </c>
      <c r="K21" s="56">
        <v>0.92</v>
      </c>
      <c r="L21" s="57">
        <f t="shared" si="1"/>
        <v>0</v>
      </c>
      <c r="M21" s="57">
        <f t="shared" si="2"/>
        <v>0</v>
      </c>
      <c r="N21" s="57">
        <f t="shared" si="3"/>
        <v>0</v>
      </c>
      <c r="O21" s="56"/>
      <c r="P21" s="56" t="s">
        <v>138</v>
      </c>
      <c r="Q21" s="56" t="e">
        <f>IF(R21="PVC",VLOOKUP(O21,Dados!C$3:D$19,2),IF(R21="EPR",VLOOKUP(O21,Dados!C$22:D$38,2)))</f>
        <v>#N/A</v>
      </c>
      <c r="R21" s="56" t="s">
        <v>139</v>
      </c>
      <c r="S21" s="51">
        <f t="shared" si="10"/>
        <v>0</v>
      </c>
      <c r="T21" s="56" t="e">
        <f>IF(R21="PVC",VLOOKUP(Q21,Dados!L$3:M$18,2),IF(R21="EPR",VLOOKUP(Q21,Dados!L$3:N$18,3)))</f>
        <v>#N/A</v>
      </c>
      <c r="U21" s="143" t="s">
        <v>140</v>
      </c>
      <c r="V21" s="62"/>
      <c r="W21" s="145"/>
      <c r="X21" s="140"/>
      <c r="Y21" s="137"/>
      <c r="Z21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1" s="63"/>
      <c r="AB21" s="101" t="e">
        <f t="shared" si="4"/>
        <v>#N/A</v>
      </c>
      <c r="AC21" s="60">
        <v>1</v>
      </c>
      <c r="AD21" s="51">
        <f t="shared" si="5"/>
        <v>0</v>
      </c>
      <c r="AE21" s="56">
        <f t="shared" si="6"/>
        <v>0</v>
      </c>
      <c r="AF21" s="56">
        <f t="shared" si="7"/>
        <v>0</v>
      </c>
      <c r="AG21" s="56">
        <f t="shared" si="8"/>
        <v>0</v>
      </c>
      <c r="AH21" s="89">
        <f t="shared" si="9"/>
        <v>219.39310229205779</v>
      </c>
      <c r="AI21" s="90" t="e">
        <f>VLOOKUP(Q21,Dados!$T$4:$U$19,2,FALSE)</f>
        <v>#N/A</v>
      </c>
      <c r="AJ21" s="91">
        <v>1</v>
      </c>
    </row>
    <row r="22" spans="1:36" customFormat="1">
      <c r="A22" s="61" t="s">
        <v>134</v>
      </c>
      <c r="B22" s="52"/>
      <c r="C22" s="52"/>
      <c r="D22" s="52"/>
      <c r="E22" s="53"/>
      <c r="F22" s="53"/>
      <c r="G22" s="53" t="s">
        <v>137</v>
      </c>
      <c r="H22" s="53"/>
      <c r="I22" s="54"/>
      <c r="J22" s="55">
        <f t="shared" si="0"/>
        <v>0</v>
      </c>
      <c r="K22" s="56">
        <v>0.92</v>
      </c>
      <c r="L22" s="57">
        <f t="shared" si="1"/>
        <v>0</v>
      </c>
      <c r="M22" s="57">
        <f t="shared" si="2"/>
        <v>0</v>
      </c>
      <c r="N22" s="57">
        <f t="shared" si="3"/>
        <v>0</v>
      </c>
      <c r="O22" s="56"/>
      <c r="P22" s="56" t="s">
        <v>138</v>
      </c>
      <c r="Q22" s="56" t="e">
        <f>IF(R22="PVC",VLOOKUP(O22,Dados!C$3:D$19,2),IF(R22="EPR",VLOOKUP(O22,Dados!C$22:D$38,2)))</f>
        <v>#N/A</v>
      </c>
      <c r="R22" s="56" t="s">
        <v>139</v>
      </c>
      <c r="S22" s="51">
        <f t="shared" si="10"/>
        <v>0</v>
      </c>
      <c r="T22" s="56" t="e">
        <f>IF(R22="PVC",VLOOKUP(Q22,Dados!L$3:M$18,2),IF(R22="EPR",VLOOKUP(Q22,Dados!L$3:N$18,3)))</f>
        <v>#N/A</v>
      </c>
      <c r="U22" s="143" t="s">
        <v>140</v>
      </c>
      <c r="V22" s="62"/>
      <c r="W22" s="145"/>
      <c r="X22" s="140"/>
      <c r="Y22" s="137"/>
      <c r="Z22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2" s="63"/>
      <c r="AB22" s="101" t="e">
        <f t="shared" si="4"/>
        <v>#N/A</v>
      </c>
      <c r="AC22" s="60">
        <v>1</v>
      </c>
      <c r="AD22" s="51">
        <f t="shared" si="5"/>
        <v>0</v>
      </c>
      <c r="AE22" s="56">
        <f t="shared" si="6"/>
        <v>0</v>
      </c>
      <c r="AF22" s="56">
        <f t="shared" si="7"/>
        <v>0</v>
      </c>
      <c r="AG22" s="56">
        <f t="shared" si="8"/>
        <v>0</v>
      </c>
      <c r="AH22" s="89">
        <f t="shared" si="9"/>
        <v>219.39310229205779</v>
      </c>
      <c r="AI22" s="90" t="e">
        <f>VLOOKUP(Q22,Dados!$T$4:$U$19,2,FALSE)</f>
        <v>#N/A</v>
      </c>
      <c r="AJ22" s="91">
        <v>1</v>
      </c>
    </row>
    <row r="23" spans="1:36" customFormat="1">
      <c r="A23" s="52"/>
      <c r="B23" s="52" t="s">
        <v>134</v>
      </c>
      <c r="C23" s="52"/>
      <c r="D23" s="52"/>
      <c r="E23" s="53"/>
      <c r="F23" s="53"/>
      <c r="G23" s="53" t="s">
        <v>137</v>
      </c>
      <c r="H23" s="53"/>
      <c r="I23" s="54"/>
      <c r="J23" s="55">
        <f t="shared" si="0"/>
        <v>0</v>
      </c>
      <c r="K23" s="56">
        <v>0.92</v>
      </c>
      <c r="L23" s="57">
        <f t="shared" si="1"/>
        <v>0</v>
      </c>
      <c r="M23" s="57">
        <f t="shared" si="2"/>
        <v>0</v>
      </c>
      <c r="N23" s="57">
        <f t="shared" si="3"/>
        <v>0</v>
      </c>
      <c r="O23" s="56"/>
      <c r="P23" s="56" t="s">
        <v>138</v>
      </c>
      <c r="Q23" s="56" t="e">
        <f>IF(R23="PVC",VLOOKUP(O23,Dados!C$3:D$19,2),IF(R23="EPR",VLOOKUP(O23,Dados!C$22:D$38,2)))</f>
        <v>#N/A</v>
      </c>
      <c r="R23" s="56" t="s">
        <v>139</v>
      </c>
      <c r="S23" s="51">
        <f t="shared" si="10"/>
        <v>0</v>
      </c>
      <c r="T23" s="56" t="e">
        <f>IF(R23="PVC",VLOOKUP(Q23,Dados!L$3:M$18,2),IF(R23="EPR",VLOOKUP(Q23,Dados!L$3:N$18,3)))</f>
        <v>#N/A</v>
      </c>
      <c r="U23" s="143" t="s">
        <v>140</v>
      </c>
      <c r="V23" s="62"/>
      <c r="W23" s="145"/>
      <c r="X23" s="140"/>
      <c r="Y23" s="137"/>
      <c r="Z23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3" s="63"/>
      <c r="AB23" s="101" t="e">
        <f t="shared" si="4"/>
        <v>#N/A</v>
      </c>
      <c r="AC23" s="60">
        <v>1</v>
      </c>
      <c r="AD23" s="51">
        <f t="shared" si="5"/>
        <v>0</v>
      </c>
      <c r="AE23" s="56">
        <f t="shared" si="6"/>
        <v>0</v>
      </c>
      <c r="AF23" s="56">
        <f t="shared" si="7"/>
        <v>0</v>
      </c>
      <c r="AG23" s="56">
        <f t="shared" si="8"/>
        <v>0</v>
      </c>
      <c r="AH23" s="89">
        <f t="shared" si="9"/>
        <v>219.39310229205779</v>
      </c>
      <c r="AI23" s="90" t="e">
        <f>VLOOKUP(Q23,Dados!$T$4:$U$19,2,FALSE)</f>
        <v>#N/A</v>
      </c>
      <c r="AJ23" s="91">
        <v>1</v>
      </c>
    </row>
    <row r="24" spans="1:36" customFormat="1">
      <c r="A24" s="52"/>
      <c r="B24" s="52"/>
      <c r="C24" s="52" t="s">
        <v>134</v>
      </c>
      <c r="D24" s="52"/>
      <c r="E24" s="53"/>
      <c r="F24" s="53"/>
      <c r="G24" s="53" t="s">
        <v>137</v>
      </c>
      <c r="H24" s="53"/>
      <c r="I24" s="54"/>
      <c r="J24" s="55">
        <f t="shared" si="0"/>
        <v>0</v>
      </c>
      <c r="K24" s="56">
        <v>0.92</v>
      </c>
      <c r="L24" s="57">
        <f t="shared" si="1"/>
        <v>0</v>
      </c>
      <c r="M24" s="57">
        <f t="shared" si="2"/>
        <v>0</v>
      </c>
      <c r="N24" s="57">
        <f t="shared" si="3"/>
        <v>0</v>
      </c>
      <c r="O24" s="56"/>
      <c r="P24" s="56" t="s">
        <v>138</v>
      </c>
      <c r="Q24" s="56" t="e">
        <f>IF(R24="PVC",VLOOKUP(O24,Dados!C$3:D$19,2),IF(R24="EPR",VLOOKUP(O24,Dados!C$22:D$38,2)))</f>
        <v>#N/A</v>
      </c>
      <c r="R24" s="56" t="s">
        <v>139</v>
      </c>
      <c r="S24" s="51">
        <f t="shared" si="10"/>
        <v>0</v>
      </c>
      <c r="T24" s="56" t="e">
        <f>IF(R24="PVC",VLOOKUP(Q24,Dados!L$3:M$18,2),IF(R24="EPR",VLOOKUP(Q24,Dados!L$3:N$18,3)))</f>
        <v>#N/A</v>
      </c>
      <c r="U24" s="143" t="s">
        <v>140</v>
      </c>
      <c r="V24" s="62"/>
      <c r="W24" s="145"/>
      <c r="X24" s="140"/>
      <c r="Y24" s="137"/>
      <c r="Z24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4" s="63"/>
      <c r="AB24" s="101" t="e">
        <f t="shared" si="4"/>
        <v>#N/A</v>
      </c>
      <c r="AC24" s="60">
        <v>1</v>
      </c>
      <c r="AD24" s="51">
        <f t="shared" si="5"/>
        <v>0</v>
      </c>
      <c r="AE24" s="56">
        <f t="shared" si="6"/>
        <v>0</v>
      </c>
      <c r="AF24" s="56">
        <f t="shared" si="7"/>
        <v>0</v>
      </c>
      <c r="AG24" s="56">
        <f t="shared" si="8"/>
        <v>0</v>
      </c>
      <c r="AH24" s="89">
        <f t="shared" si="9"/>
        <v>219.39310229205779</v>
      </c>
      <c r="AI24" s="90" t="e">
        <f>VLOOKUP(Q24,Dados!$T$4:$U$19,2,FALSE)</f>
        <v>#N/A</v>
      </c>
      <c r="AJ24" s="91">
        <v>1</v>
      </c>
    </row>
    <row r="25" spans="1:36" customFormat="1">
      <c r="A25" s="52" t="s">
        <v>134</v>
      </c>
      <c r="B25" s="52"/>
      <c r="C25" s="52"/>
      <c r="D25" s="52"/>
      <c r="E25" s="53"/>
      <c r="F25" s="53"/>
      <c r="G25" s="53" t="s">
        <v>137</v>
      </c>
      <c r="H25" s="53"/>
      <c r="I25" s="54"/>
      <c r="J25" s="55">
        <f t="shared" si="0"/>
        <v>0</v>
      </c>
      <c r="K25" s="56">
        <v>0.92</v>
      </c>
      <c r="L25" s="57">
        <f t="shared" si="1"/>
        <v>0</v>
      </c>
      <c r="M25" s="57">
        <f t="shared" si="2"/>
        <v>0</v>
      </c>
      <c r="N25" s="57">
        <f t="shared" si="3"/>
        <v>0</v>
      </c>
      <c r="O25" s="56"/>
      <c r="P25" s="56" t="s">
        <v>138</v>
      </c>
      <c r="Q25" s="56" t="e">
        <f>IF(R25="PVC",VLOOKUP(O25,Dados!C$3:D$19,2),IF(R25="EPR",VLOOKUP(O25,Dados!C$22:D$38,2)))</f>
        <v>#N/A</v>
      </c>
      <c r="R25" s="56" t="s">
        <v>139</v>
      </c>
      <c r="S25" s="51">
        <f t="shared" si="10"/>
        <v>0</v>
      </c>
      <c r="T25" s="56" t="e">
        <f>IF(R25="PVC",VLOOKUP(Q25,Dados!L$3:M$18,2),IF(R25="EPR",VLOOKUP(Q25,Dados!L$3:N$18,3)))</f>
        <v>#N/A</v>
      </c>
      <c r="U25" s="143" t="s">
        <v>140</v>
      </c>
      <c r="V25" s="62"/>
      <c r="W25" s="145"/>
      <c r="X25" s="140"/>
      <c r="Y25" s="137"/>
      <c r="Z25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5" s="63"/>
      <c r="AB25" s="101" t="e">
        <f t="shared" si="4"/>
        <v>#N/A</v>
      </c>
      <c r="AC25" s="60">
        <v>1</v>
      </c>
      <c r="AD25" s="51">
        <f t="shared" si="5"/>
        <v>0</v>
      </c>
      <c r="AE25" s="56">
        <f t="shared" si="6"/>
        <v>0</v>
      </c>
      <c r="AF25" s="56">
        <f t="shared" si="7"/>
        <v>0</v>
      </c>
      <c r="AG25" s="56">
        <f t="shared" si="8"/>
        <v>0</v>
      </c>
      <c r="AH25" s="89">
        <f t="shared" si="9"/>
        <v>219.39310229205779</v>
      </c>
      <c r="AI25" s="90" t="e">
        <f>VLOOKUP(Q25,Dados!$T$4:$U$19,2,FALSE)</f>
        <v>#N/A</v>
      </c>
      <c r="AJ25" s="91">
        <v>1</v>
      </c>
    </row>
    <row r="26" spans="1:36" customFormat="1">
      <c r="A26" s="61"/>
      <c r="B26" s="52" t="s">
        <v>134</v>
      </c>
      <c r="C26" s="52"/>
      <c r="D26" s="52"/>
      <c r="E26" s="53"/>
      <c r="F26" s="53"/>
      <c r="G26" s="53" t="s">
        <v>137</v>
      </c>
      <c r="H26" s="53"/>
      <c r="I26" s="54"/>
      <c r="J26" s="55">
        <f t="shared" si="0"/>
        <v>0</v>
      </c>
      <c r="K26" s="56">
        <v>0.92</v>
      </c>
      <c r="L26" s="57">
        <f t="shared" si="1"/>
        <v>0</v>
      </c>
      <c r="M26" s="57">
        <f t="shared" si="2"/>
        <v>0</v>
      </c>
      <c r="N26" s="57">
        <f t="shared" si="3"/>
        <v>0</v>
      </c>
      <c r="O26" s="56"/>
      <c r="P26" s="56" t="s">
        <v>138</v>
      </c>
      <c r="Q26" s="56" t="e">
        <f>IF(R26="PVC",VLOOKUP(O26,Dados!C$3:D$19,2),IF(R26="EPR",VLOOKUP(O26,Dados!C$22:D$38,2)))</f>
        <v>#N/A</v>
      </c>
      <c r="R26" s="56" t="s">
        <v>139</v>
      </c>
      <c r="S26" s="51">
        <f t="shared" si="10"/>
        <v>0</v>
      </c>
      <c r="T26" s="56" t="e">
        <f>IF(R26="PVC",VLOOKUP(Q26,Dados!L$3:M$18,2),IF(R26="EPR",VLOOKUP(Q26,Dados!L$3:N$18,3)))</f>
        <v>#N/A</v>
      </c>
      <c r="U26" s="143" t="s">
        <v>140</v>
      </c>
      <c r="V26" s="62"/>
      <c r="W26" s="145"/>
      <c r="X26" s="140"/>
      <c r="Y26" s="137"/>
      <c r="Z26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6" s="63"/>
      <c r="AB26" s="101" t="e">
        <f t="shared" si="4"/>
        <v>#N/A</v>
      </c>
      <c r="AC26" s="60">
        <v>1</v>
      </c>
      <c r="AD26" s="51">
        <f t="shared" si="5"/>
        <v>0</v>
      </c>
      <c r="AE26" s="56">
        <f t="shared" si="6"/>
        <v>0</v>
      </c>
      <c r="AF26" s="56">
        <f t="shared" si="7"/>
        <v>0</v>
      </c>
      <c r="AG26" s="56">
        <f t="shared" si="8"/>
        <v>0</v>
      </c>
      <c r="AH26" s="89">
        <f t="shared" si="9"/>
        <v>219.39310229205779</v>
      </c>
      <c r="AI26" s="90" t="e">
        <f>VLOOKUP(Q26,Dados!$T$4:$U$19,2,FALSE)</f>
        <v>#N/A</v>
      </c>
      <c r="AJ26" s="91">
        <v>1</v>
      </c>
    </row>
    <row r="27" spans="1:36" customFormat="1">
      <c r="A27" s="52"/>
      <c r="B27" s="52"/>
      <c r="C27" s="52" t="s">
        <v>134</v>
      </c>
      <c r="D27" s="52"/>
      <c r="E27" s="53"/>
      <c r="F27" s="53"/>
      <c r="G27" s="53" t="s">
        <v>137</v>
      </c>
      <c r="H27" s="53"/>
      <c r="I27" s="54"/>
      <c r="J27" s="55">
        <f t="shared" si="0"/>
        <v>0</v>
      </c>
      <c r="K27" s="56">
        <v>0.92</v>
      </c>
      <c r="L27" s="57">
        <f t="shared" si="1"/>
        <v>0</v>
      </c>
      <c r="M27" s="57">
        <f t="shared" si="2"/>
        <v>0</v>
      </c>
      <c r="N27" s="57">
        <f t="shared" si="3"/>
        <v>0</v>
      </c>
      <c r="O27" s="56"/>
      <c r="P27" s="56" t="s">
        <v>138</v>
      </c>
      <c r="Q27" s="56" t="e">
        <f>IF(R27="PVC",VLOOKUP(O27,Dados!C$3:D$19,2),IF(R27="EPR",VLOOKUP(O27,Dados!C$22:D$38,2)))</f>
        <v>#N/A</v>
      </c>
      <c r="R27" s="56" t="s">
        <v>139</v>
      </c>
      <c r="S27" s="51">
        <f t="shared" si="10"/>
        <v>0</v>
      </c>
      <c r="T27" s="56" t="e">
        <f>IF(R27="PVC",VLOOKUP(Q27,Dados!L$3:M$18,2),IF(R27="EPR",VLOOKUP(Q27,Dados!L$3:N$18,3)))</f>
        <v>#N/A</v>
      </c>
      <c r="U27" s="143" t="s">
        <v>140</v>
      </c>
      <c r="V27" s="62"/>
      <c r="W27" s="145"/>
      <c r="X27" s="140"/>
      <c r="Y27" s="137"/>
      <c r="Z27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7" s="63"/>
      <c r="AB27" s="101" t="e">
        <f t="shared" si="4"/>
        <v>#N/A</v>
      </c>
      <c r="AC27" s="60">
        <v>1</v>
      </c>
      <c r="AD27" s="51">
        <f t="shared" si="5"/>
        <v>0</v>
      </c>
      <c r="AE27" s="56">
        <f t="shared" si="6"/>
        <v>0</v>
      </c>
      <c r="AF27" s="56">
        <f t="shared" si="7"/>
        <v>0</v>
      </c>
      <c r="AG27" s="56">
        <f t="shared" si="8"/>
        <v>0</v>
      </c>
      <c r="AH27" s="89">
        <f t="shared" si="9"/>
        <v>219.39310229205779</v>
      </c>
      <c r="AI27" s="90" t="e">
        <f>VLOOKUP(Q27,Dados!$T$4:$U$19,2,FALSE)</f>
        <v>#N/A</v>
      </c>
      <c r="AJ27" s="91">
        <v>1</v>
      </c>
    </row>
    <row r="28" spans="1:36" customFormat="1">
      <c r="A28" s="61" t="s">
        <v>134</v>
      </c>
      <c r="B28" s="52"/>
      <c r="C28" s="52"/>
      <c r="D28" s="52"/>
      <c r="E28" s="53"/>
      <c r="F28" s="53"/>
      <c r="G28" s="53" t="s">
        <v>137</v>
      </c>
      <c r="H28" s="53"/>
      <c r="I28" s="54"/>
      <c r="J28" s="55">
        <f t="shared" si="0"/>
        <v>0</v>
      </c>
      <c r="K28" s="56">
        <v>0.92</v>
      </c>
      <c r="L28" s="57">
        <f t="shared" si="1"/>
        <v>0</v>
      </c>
      <c r="M28" s="57">
        <f t="shared" si="2"/>
        <v>0</v>
      </c>
      <c r="N28" s="57">
        <f t="shared" si="3"/>
        <v>0</v>
      </c>
      <c r="O28" s="56"/>
      <c r="P28" s="56" t="s">
        <v>138</v>
      </c>
      <c r="Q28" s="56" t="e">
        <f>IF(R28="PVC",VLOOKUP(O28,Dados!C$3:D$19,2),IF(R28="EPR",VLOOKUP(O28,Dados!C$22:D$38,2)))</f>
        <v>#N/A</v>
      </c>
      <c r="R28" s="56" t="s">
        <v>139</v>
      </c>
      <c r="S28" s="51">
        <f t="shared" si="10"/>
        <v>0</v>
      </c>
      <c r="T28" s="56" t="e">
        <f>IF(R28="PVC",VLOOKUP(Q28,Dados!L$3:M$18,2),IF(R28="EPR",VLOOKUP(Q28,Dados!L$3:N$18,3)))</f>
        <v>#N/A</v>
      </c>
      <c r="U28" s="143" t="s">
        <v>140</v>
      </c>
      <c r="V28" s="62"/>
      <c r="W28" s="145"/>
      <c r="X28" s="140"/>
      <c r="Y28" s="137"/>
      <c r="Z28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8" s="63"/>
      <c r="AB28" s="101" t="e">
        <f t="shared" si="4"/>
        <v>#N/A</v>
      </c>
      <c r="AC28" s="60">
        <v>1</v>
      </c>
      <c r="AD28" s="51">
        <f t="shared" si="5"/>
        <v>0</v>
      </c>
      <c r="AE28" s="56">
        <f t="shared" si="6"/>
        <v>0</v>
      </c>
      <c r="AF28" s="56">
        <f t="shared" si="7"/>
        <v>0</v>
      </c>
      <c r="AG28" s="56">
        <f t="shared" si="8"/>
        <v>0</v>
      </c>
      <c r="AH28" s="89">
        <f t="shared" si="9"/>
        <v>219.39310229205779</v>
      </c>
      <c r="AI28" s="90" t="e">
        <f>VLOOKUP(Q28,Dados!$T$4:$U$19,2,FALSE)</f>
        <v>#N/A</v>
      </c>
      <c r="AJ28" s="91">
        <v>1</v>
      </c>
    </row>
    <row r="29" spans="1:36" customFormat="1">
      <c r="A29" s="52"/>
      <c r="B29" s="52" t="s">
        <v>134</v>
      </c>
      <c r="C29" s="52"/>
      <c r="D29" s="52"/>
      <c r="E29" s="53"/>
      <c r="F29" s="53"/>
      <c r="G29" s="53" t="s">
        <v>137</v>
      </c>
      <c r="H29" s="53"/>
      <c r="I29" s="54"/>
      <c r="J29" s="55">
        <f t="shared" si="0"/>
        <v>0</v>
      </c>
      <c r="K29" s="56">
        <v>0.92</v>
      </c>
      <c r="L29" s="57">
        <f t="shared" si="1"/>
        <v>0</v>
      </c>
      <c r="M29" s="57">
        <f t="shared" si="2"/>
        <v>0</v>
      </c>
      <c r="N29" s="57">
        <f t="shared" si="3"/>
        <v>0</v>
      </c>
      <c r="O29" s="56"/>
      <c r="P29" s="56" t="s">
        <v>138</v>
      </c>
      <c r="Q29" s="56" t="e">
        <f>IF(R29="PVC",VLOOKUP(O29,Dados!C$3:D$19,2),IF(R29="EPR",VLOOKUP(O29,Dados!C$22:D$38,2)))</f>
        <v>#N/A</v>
      </c>
      <c r="R29" s="56" t="s">
        <v>139</v>
      </c>
      <c r="S29" s="51">
        <f t="shared" si="10"/>
        <v>0</v>
      </c>
      <c r="T29" s="56" t="e">
        <f>IF(R29="PVC",VLOOKUP(Q29,Dados!L$3:M$18,2),IF(R29="EPR",VLOOKUP(Q29,Dados!L$3:N$18,3)))</f>
        <v>#N/A</v>
      </c>
      <c r="U29" s="143" t="s">
        <v>140</v>
      </c>
      <c r="V29" s="62"/>
      <c r="W29" s="145"/>
      <c r="X29" s="140"/>
      <c r="Y29" s="137"/>
      <c r="Z29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29" s="63"/>
      <c r="AB29" s="101" t="e">
        <f t="shared" si="4"/>
        <v>#N/A</v>
      </c>
      <c r="AC29" s="60">
        <v>1</v>
      </c>
      <c r="AD29" s="51">
        <f t="shared" si="5"/>
        <v>0</v>
      </c>
      <c r="AE29" s="56">
        <f t="shared" si="6"/>
        <v>0</v>
      </c>
      <c r="AF29" s="56">
        <f t="shared" si="7"/>
        <v>0</v>
      </c>
      <c r="AG29" s="56">
        <f t="shared" si="8"/>
        <v>0</v>
      </c>
      <c r="AH29" s="89">
        <f t="shared" si="9"/>
        <v>219.39310229205779</v>
      </c>
      <c r="AI29" s="90" t="e">
        <f>VLOOKUP(Q29,Dados!$T$4:$U$19,2,FALSE)</f>
        <v>#N/A</v>
      </c>
      <c r="AJ29" s="91">
        <v>1</v>
      </c>
    </row>
    <row r="30" spans="1:36" customFormat="1">
      <c r="A30" s="52"/>
      <c r="B30" s="52"/>
      <c r="C30" s="52" t="s">
        <v>134</v>
      </c>
      <c r="D30" s="52"/>
      <c r="E30" s="53"/>
      <c r="F30" s="53"/>
      <c r="G30" s="53" t="s">
        <v>137</v>
      </c>
      <c r="H30" s="53"/>
      <c r="I30" s="54"/>
      <c r="J30" s="55">
        <f t="shared" si="0"/>
        <v>0</v>
      </c>
      <c r="K30" s="56">
        <v>0.92</v>
      </c>
      <c r="L30" s="57">
        <f t="shared" si="1"/>
        <v>0</v>
      </c>
      <c r="M30" s="57">
        <f t="shared" si="2"/>
        <v>0</v>
      </c>
      <c r="N30" s="57">
        <f t="shared" si="3"/>
        <v>0</v>
      </c>
      <c r="O30" s="56"/>
      <c r="P30" s="56" t="s">
        <v>138</v>
      </c>
      <c r="Q30" s="56" t="e">
        <f>IF(R30="PVC",VLOOKUP(O30,Dados!C$3:D$19,2),IF(R30="EPR",VLOOKUP(O30,Dados!C$22:D$38,2)))</f>
        <v>#N/A</v>
      </c>
      <c r="R30" s="56" t="s">
        <v>139</v>
      </c>
      <c r="S30" s="51">
        <f t="shared" si="10"/>
        <v>0</v>
      </c>
      <c r="T30" s="56" t="e">
        <f>IF(R30="PVC",VLOOKUP(Q30,Dados!L$3:M$18,2),IF(R30="EPR",VLOOKUP(Q30,Dados!L$3:N$18,3)))</f>
        <v>#N/A</v>
      </c>
      <c r="U30" s="143" t="s">
        <v>140</v>
      </c>
      <c r="V30" s="62"/>
      <c r="W30" s="145"/>
      <c r="X30" s="140"/>
      <c r="Y30" s="137"/>
      <c r="Z30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0" s="63"/>
      <c r="AB30" s="101" t="e">
        <f t="shared" si="4"/>
        <v>#N/A</v>
      </c>
      <c r="AC30" s="60">
        <v>1</v>
      </c>
      <c r="AD30" s="51">
        <f t="shared" si="5"/>
        <v>0</v>
      </c>
      <c r="AE30" s="56">
        <f t="shared" si="6"/>
        <v>0</v>
      </c>
      <c r="AF30" s="56">
        <f t="shared" si="7"/>
        <v>0</v>
      </c>
      <c r="AG30" s="56">
        <f t="shared" si="8"/>
        <v>0</v>
      </c>
      <c r="AH30" s="89">
        <f t="shared" si="9"/>
        <v>219.39310229205779</v>
      </c>
      <c r="AI30" s="90" t="e">
        <f>VLOOKUP(Q30,Dados!$T$4:$U$19,2,FALSE)</f>
        <v>#N/A</v>
      </c>
      <c r="AJ30" s="91">
        <v>1</v>
      </c>
    </row>
    <row r="31" spans="1:36" customFormat="1">
      <c r="A31" s="52" t="s">
        <v>134</v>
      </c>
      <c r="B31" s="52"/>
      <c r="C31" s="52"/>
      <c r="D31" s="52"/>
      <c r="E31" s="53"/>
      <c r="F31" s="53"/>
      <c r="G31" s="53" t="s">
        <v>137</v>
      </c>
      <c r="H31" s="53"/>
      <c r="I31" s="54"/>
      <c r="J31" s="55">
        <f t="shared" si="0"/>
        <v>0</v>
      </c>
      <c r="K31" s="56">
        <v>0.92</v>
      </c>
      <c r="L31" s="57">
        <f t="shared" si="1"/>
        <v>0</v>
      </c>
      <c r="M31" s="57">
        <f t="shared" si="2"/>
        <v>0</v>
      </c>
      <c r="N31" s="57">
        <f t="shared" si="3"/>
        <v>0</v>
      </c>
      <c r="O31" s="56"/>
      <c r="P31" s="56" t="s">
        <v>138</v>
      </c>
      <c r="Q31" s="56" t="e">
        <f>IF(R31="PVC",VLOOKUP(O31,Dados!C$3:D$19,2),IF(R31="EPR",VLOOKUP(O31,Dados!C$22:D$38,2)))</f>
        <v>#N/A</v>
      </c>
      <c r="R31" s="56" t="s">
        <v>139</v>
      </c>
      <c r="S31" s="51">
        <f t="shared" si="10"/>
        <v>0</v>
      </c>
      <c r="T31" s="56" t="e">
        <f>IF(R31="PVC",VLOOKUP(Q31,Dados!L$3:M$18,2),IF(R31="EPR",VLOOKUP(Q31,Dados!L$3:N$18,3)))</f>
        <v>#N/A</v>
      </c>
      <c r="U31" s="143" t="s">
        <v>140</v>
      </c>
      <c r="V31" s="62"/>
      <c r="W31" s="145"/>
      <c r="X31" s="140"/>
      <c r="Y31" s="137"/>
      <c r="Z31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1" s="63"/>
      <c r="AB31" s="101" t="e">
        <f t="shared" si="4"/>
        <v>#N/A</v>
      </c>
      <c r="AC31" s="60">
        <v>1</v>
      </c>
      <c r="AD31" s="51">
        <f t="shared" si="5"/>
        <v>0</v>
      </c>
      <c r="AE31" s="56">
        <f t="shared" si="6"/>
        <v>0</v>
      </c>
      <c r="AF31" s="56">
        <f t="shared" si="7"/>
        <v>0</v>
      </c>
      <c r="AG31" s="56">
        <f t="shared" si="8"/>
        <v>0</v>
      </c>
      <c r="AH31" s="89">
        <f t="shared" si="9"/>
        <v>219.39310229205779</v>
      </c>
      <c r="AI31" s="90" t="e">
        <f>VLOOKUP(Q31,Dados!$T$4:$U$19,2,FALSE)</f>
        <v>#N/A</v>
      </c>
      <c r="AJ31" s="91">
        <v>1</v>
      </c>
    </row>
    <row r="32" spans="1:36" customFormat="1">
      <c r="A32" s="61"/>
      <c r="B32" s="52" t="s">
        <v>134</v>
      </c>
      <c r="C32" s="52"/>
      <c r="D32" s="52"/>
      <c r="E32" s="53"/>
      <c r="F32" s="53"/>
      <c r="G32" s="53" t="s">
        <v>137</v>
      </c>
      <c r="H32" s="53"/>
      <c r="I32" s="54"/>
      <c r="J32" s="55">
        <f t="shared" si="0"/>
        <v>0</v>
      </c>
      <c r="K32" s="56">
        <v>0.92</v>
      </c>
      <c r="L32" s="57">
        <f t="shared" si="1"/>
        <v>0</v>
      </c>
      <c r="M32" s="57">
        <f t="shared" si="2"/>
        <v>0</v>
      </c>
      <c r="N32" s="57">
        <f t="shared" si="3"/>
        <v>0</v>
      </c>
      <c r="O32" s="56"/>
      <c r="P32" s="56" t="s">
        <v>138</v>
      </c>
      <c r="Q32" s="56" t="e">
        <f>IF(R32="PVC",VLOOKUP(O32,Dados!C$3:D$19,2),IF(R32="EPR",VLOOKUP(O32,Dados!C$22:D$38,2)))</f>
        <v>#N/A</v>
      </c>
      <c r="R32" s="56" t="s">
        <v>139</v>
      </c>
      <c r="S32" s="51">
        <f t="shared" si="10"/>
        <v>0</v>
      </c>
      <c r="T32" s="56" t="e">
        <f>IF(R32="PVC",VLOOKUP(Q32,Dados!L$3:M$18,2),IF(R32="EPR",VLOOKUP(Q32,Dados!L$3:N$18,3)))</f>
        <v>#N/A</v>
      </c>
      <c r="U32" s="143" t="s">
        <v>140</v>
      </c>
      <c r="V32" s="62"/>
      <c r="W32" s="145"/>
      <c r="X32" s="140"/>
      <c r="Y32" s="137"/>
      <c r="Z32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2" s="63"/>
      <c r="AB32" s="101" t="e">
        <f t="shared" si="4"/>
        <v>#N/A</v>
      </c>
      <c r="AC32" s="60">
        <v>1</v>
      </c>
      <c r="AD32" s="51">
        <f t="shared" si="5"/>
        <v>0</v>
      </c>
      <c r="AE32" s="56">
        <f t="shared" si="6"/>
        <v>0</v>
      </c>
      <c r="AF32" s="56">
        <f t="shared" si="7"/>
        <v>0</v>
      </c>
      <c r="AG32" s="56">
        <f t="shared" si="8"/>
        <v>0</v>
      </c>
      <c r="AH32" s="89">
        <f t="shared" si="9"/>
        <v>219.39310229205779</v>
      </c>
      <c r="AI32" s="90" t="e">
        <f>VLOOKUP(Q32,Dados!$T$4:$U$19,2,FALSE)</f>
        <v>#N/A</v>
      </c>
      <c r="AJ32" s="91">
        <v>1</v>
      </c>
    </row>
    <row r="33" spans="1:36" customFormat="1">
      <c r="A33" s="52"/>
      <c r="B33" s="52"/>
      <c r="C33" s="52" t="s">
        <v>134</v>
      </c>
      <c r="D33" s="52"/>
      <c r="E33" s="53"/>
      <c r="F33" s="53"/>
      <c r="G33" s="53" t="s">
        <v>137</v>
      </c>
      <c r="H33" s="53"/>
      <c r="I33" s="54"/>
      <c r="J33" s="55">
        <f t="shared" si="0"/>
        <v>0</v>
      </c>
      <c r="K33" s="56">
        <v>0.92</v>
      </c>
      <c r="L33" s="57">
        <f t="shared" si="1"/>
        <v>0</v>
      </c>
      <c r="M33" s="57">
        <f t="shared" si="2"/>
        <v>0</v>
      </c>
      <c r="N33" s="57">
        <f t="shared" si="3"/>
        <v>0</v>
      </c>
      <c r="O33" s="56"/>
      <c r="P33" s="56" t="s">
        <v>138</v>
      </c>
      <c r="Q33" s="56" t="e">
        <f>IF(R33="PVC",VLOOKUP(O33,Dados!C$3:D$19,2),IF(R33="EPR",VLOOKUP(O33,Dados!C$22:D$38,2)))</f>
        <v>#N/A</v>
      </c>
      <c r="R33" s="56" t="s">
        <v>139</v>
      </c>
      <c r="S33" s="51">
        <f t="shared" si="10"/>
        <v>0</v>
      </c>
      <c r="T33" s="56" t="e">
        <f>IF(R33="PVC",VLOOKUP(Q33,Dados!L$3:M$18,2),IF(R33="EPR",VLOOKUP(Q33,Dados!L$3:N$18,3)))</f>
        <v>#N/A</v>
      </c>
      <c r="U33" s="143" t="s">
        <v>140</v>
      </c>
      <c r="V33" s="62"/>
      <c r="W33" s="145"/>
      <c r="X33" s="140"/>
      <c r="Y33" s="137"/>
      <c r="Z33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3" s="63"/>
      <c r="AB33" s="101" t="e">
        <f t="shared" si="4"/>
        <v>#N/A</v>
      </c>
      <c r="AC33" s="60">
        <v>1</v>
      </c>
      <c r="AD33" s="51">
        <f t="shared" si="5"/>
        <v>0</v>
      </c>
      <c r="AE33" s="56">
        <f t="shared" si="6"/>
        <v>0</v>
      </c>
      <c r="AF33" s="56">
        <f t="shared" si="7"/>
        <v>0</v>
      </c>
      <c r="AG33" s="56">
        <f t="shared" si="8"/>
        <v>0</v>
      </c>
      <c r="AH33" s="89">
        <f t="shared" si="9"/>
        <v>219.39310229205779</v>
      </c>
      <c r="AI33" s="90" t="e">
        <f>VLOOKUP(Q33,Dados!$T$4:$U$19,2,FALSE)</f>
        <v>#N/A</v>
      </c>
      <c r="AJ33" s="91">
        <v>1</v>
      </c>
    </row>
    <row r="34" spans="1:36" customFormat="1">
      <c r="A34" s="61" t="s">
        <v>134</v>
      </c>
      <c r="B34" s="52"/>
      <c r="C34" s="52"/>
      <c r="D34" s="52"/>
      <c r="E34" s="53"/>
      <c r="F34" s="53"/>
      <c r="G34" s="53" t="s">
        <v>137</v>
      </c>
      <c r="H34" s="53"/>
      <c r="I34" s="54"/>
      <c r="J34" s="55">
        <f t="shared" si="0"/>
        <v>0</v>
      </c>
      <c r="K34" s="56">
        <v>0.92</v>
      </c>
      <c r="L34" s="57">
        <f t="shared" si="1"/>
        <v>0</v>
      </c>
      <c r="M34" s="57">
        <f t="shared" si="2"/>
        <v>0</v>
      </c>
      <c r="N34" s="57">
        <f t="shared" si="3"/>
        <v>0</v>
      </c>
      <c r="O34" s="56"/>
      <c r="P34" s="56" t="s">
        <v>138</v>
      </c>
      <c r="Q34" s="56" t="e">
        <f>IF(R34="PVC",VLOOKUP(O34,Dados!C$3:D$19,2),IF(R34="EPR",VLOOKUP(O34,Dados!C$22:D$38,2)))</f>
        <v>#N/A</v>
      </c>
      <c r="R34" s="56" t="s">
        <v>139</v>
      </c>
      <c r="S34" s="51">
        <f t="shared" si="10"/>
        <v>0</v>
      </c>
      <c r="T34" s="56" t="e">
        <f>IF(R34="PVC",VLOOKUP(Q34,Dados!L$3:M$18,2),IF(R34="EPR",VLOOKUP(Q34,Dados!L$3:N$18,3)))</f>
        <v>#N/A</v>
      </c>
      <c r="U34" s="143" t="s">
        <v>140</v>
      </c>
      <c r="V34" s="62"/>
      <c r="W34" s="145"/>
      <c r="X34" s="140"/>
      <c r="Y34" s="137"/>
      <c r="Z34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4" s="63"/>
      <c r="AB34" s="101" t="e">
        <f t="shared" si="4"/>
        <v>#N/A</v>
      </c>
      <c r="AC34" s="60">
        <v>1</v>
      </c>
      <c r="AD34" s="51">
        <f t="shared" si="5"/>
        <v>0</v>
      </c>
      <c r="AE34" s="56">
        <f t="shared" si="6"/>
        <v>0</v>
      </c>
      <c r="AF34" s="56">
        <f t="shared" si="7"/>
        <v>0</v>
      </c>
      <c r="AG34" s="56">
        <f t="shared" si="8"/>
        <v>0</v>
      </c>
      <c r="AH34" s="89">
        <f t="shared" si="9"/>
        <v>219.39310229205779</v>
      </c>
      <c r="AI34" s="90" t="e">
        <f>VLOOKUP(Q34,Dados!$T$4:$U$19,2,FALSE)</f>
        <v>#N/A</v>
      </c>
      <c r="AJ34" s="91">
        <v>1</v>
      </c>
    </row>
    <row r="35" spans="1:36" customFormat="1">
      <c r="A35" s="52"/>
      <c r="B35" s="52" t="s">
        <v>134</v>
      </c>
      <c r="C35" s="52"/>
      <c r="D35" s="52"/>
      <c r="E35" s="53"/>
      <c r="F35" s="53"/>
      <c r="G35" s="53" t="s">
        <v>137</v>
      </c>
      <c r="H35" s="53"/>
      <c r="I35" s="54"/>
      <c r="J35" s="55">
        <f t="shared" si="0"/>
        <v>0</v>
      </c>
      <c r="K35" s="56">
        <v>0.92</v>
      </c>
      <c r="L35" s="57">
        <f t="shared" si="1"/>
        <v>0</v>
      </c>
      <c r="M35" s="57">
        <f t="shared" si="2"/>
        <v>0</v>
      </c>
      <c r="N35" s="57">
        <f t="shared" si="3"/>
        <v>0</v>
      </c>
      <c r="O35" s="56"/>
      <c r="P35" s="56" t="s">
        <v>138</v>
      </c>
      <c r="Q35" s="56" t="e">
        <f>IF(R35="PVC",VLOOKUP(O35,Dados!C$3:D$19,2),IF(R35="EPR",VLOOKUP(O35,Dados!C$22:D$38,2)))</f>
        <v>#N/A</v>
      </c>
      <c r="R35" s="56" t="s">
        <v>139</v>
      </c>
      <c r="S35" s="51">
        <f t="shared" si="10"/>
        <v>0</v>
      </c>
      <c r="T35" s="56" t="e">
        <f>IF(R35="PVC",VLOOKUP(Q35,Dados!L$3:M$18,2),IF(R35="EPR",VLOOKUP(Q35,Dados!L$3:N$18,3)))</f>
        <v>#N/A</v>
      </c>
      <c r="U35" s="143" t="s">
        <v>140</v>
      </c>
      <c r="V35" s="62"/>
      <c r="W35" s="145"/>
      <c r="X35" s="140"/>
      <c r="Y35" s="137"/>
      <c r="Z35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5" s="63"/>
      <c r="AB35" s="101" t="e">
        <f t="shared" si="4"/>
        <v>#N/A</v>
      </c>
      <c r="AC35" s="60">
        <v>1</v>
      </c>
      <c r="AD35" s="51">
        <f t="shared" si="5"/>
        <v>0</v>
      </c>
      <c r="AE35" s="56">
        <f t="shared" si="6"/>
        <v>0</v>
      </c>
      <c r="AF35" s="56">
        <f t="shared" si="7"/>
        <v>0</v>
      </c>
      <c r="AG35" s="56">
        <f t="shared" si="8"/>
        <v>0</v>
      </c>
      <c r="AH35" s="89">
        <f t="shared" si="9"/>
        <v>219.39310229205779</v>
      </c>
      <c r="AI35" s="90" t="e">
        <f>VLOOKUP(Q35,Dados!$T$4:$U$19,2,FALSE)</f>
        <v>#N/A</v>
      </c>
      <c r="AJ35" s="91">
        <v>1</v>
      </c>
    </row>
    <row r="36" spans="1:36" customFormat="1">
      <c r="A36" s="52"/>
      <c r="B36" s="52"/>
      <c r="C36" s="52" t="s">
        <v>134</v>
      </c>
      <c r="D36" s="52"/>
      <c r="E36" s="53"/>
      <c r="F36" s="53"/>
      <c r="G36" s="53" t="s">
        <v>137</v>
      </c>
      <c r="H36" s="53"/>
      <c r="I36" s="54"/>
      <c r="J36" s="55">
        <f t="shared" si="0"/>
        <v>0</v>
      </c>
      <c r="K36" s="56">
        <v>0.92</v>
      </c>
      <c r="L36" s="57">
        <f t="shared" si="1"/>
        <v>0</v>
      </c>
      <c r="M36" s="57">
        <f t="shared" si="2"/>
        <v>0</v>
      </c>
      <c r="N36" s="57">
        <f t="shared" si="3"/>
        <v>0</v>
      </c>
      <c r="O36" s="56"/>
      <c r="P36" s="56" t="s">
        <v>138</v>
      </c>
      <c r="Q36" s="56" t="e">
        <f>IF(R36="PVC",VLOOKUP(O36,Dados!C$3:D$19,2),IF(R36="EPR",VLOOKUP(O36,Dados!C$22:D$38,2)))</f>
        <v>#N/A</v>
      </c>
      <c r="R36" s="56" t="s">
        <v>139</v>
      </c>
      <c r="S36" s="51">
        <f t="shared" si="10"/>
        <v>0</v>
      </c>
      <c r="T36" s="56" t="e">
        <f>IF(R36="PVC",VLOOKUP(Q36,Dados!L$3:M$18,2),IF(R36="EPR",VLOOKUP(Q36,Dados!L$3:N$18,3)))</f>
        <v>#N/A</v>
      </c>
      <c r="U36" s="143" t="s">
        <v>140</v>
      </c>
      <c r="V36" s="62"/>
      <c r="W36" s="145"/>
      <c r="X36" s="140"/>
      <c r="Y36" s="137"/>
      <c r="Z36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6" s="63"/>
      <c r="AB36" s="101" t="e">
        <f t="shared" si="4"/>
        <v>#N/A</v>
      </c>
      <c r="AC36" s="60">
        <v>1</v>
      </c>
      <c r="AD36" s="51">
        <f t="shared" si="5"/>
        <v>0</v>
      </c>
      <c r="AE36" s="56">
        <f t="shared" si="6"/>
        <v>0</v>
      </c>
      <c r="AF36" s="56">
        <f t="shared" si="7"/>
        <v>0</v>
      </c>
      <c r="AG36" s="56">
        <f t="shared" si="8"/>
        <v>0</v>
      </c>
      <c r="AH36" s="89">
        <f t="shared" si="9"/>
        <v>219.39310229205779</v>
      </c>
      <c r="AI36" s="90" t="e">
        <f>VLOOKUP(Q36,Dados!$T$4:$U$19,2,FALSE)</f>
        <v>#N/A</v>
      </c>
      <c r="AJ36" s="91">
        <v>1</v>
      </c>
    </row>
    <row r="37" spans="1:36" customFormat="1">
      <c r="A37" s="52" t="s">
        <v>134</v>
      </c>
      <c r="B37" s="52"/>
      <c r="C37" s="52"/>
      <c r="D37" s="52"/>
      <c r="E37" s="53"/>
      <c r="F37" s="53"/>
      <c r="G37" s="53" t="s">
        <v>137</v>
      </c>
      <c r="H37" s="53"/>
      <c r="I37" s="54"/>
      <c r="J37" s="55">
        <f t="shared" si="0"/>
        <v>0</v>
      </c>
      <c r="K37" s="56">
        <v>0.92</v>
      </c>
      <c r="L37" s="57">
        <f t="shared" si="1"/>
        <v>0</v>
      </c>
      <c r="M37" s="57">
        <f t="shared" si="2"/>
        <v>0</v>
      </c>
      <c r="N37" s="57">
        <f t="shared" si="3"/>
        <v>0</v>
      </c>
      <c r="O37" s="56"/>
      <c r="P37" s="56" t="s">
        <v>138</v>
      </c>
      <c r="Q37" s="56" t="e">
        <f>IF(R37="PVC",VLOOKUP(O37,Dados!C$3:D$19,2),IF(R37="EPR",VLOOKUP(O37,Dados!C$22:D$38,2)))</f>
        <v>#N/A</v>
      </c>
      <c r="R37" s="56" t="s">
        <v>139</v>
      </c>
      <c r="S37" s="51">
        <f t="shared" si="10"/>
        <v>0</v>
      </c>
      <c r="T37" s="56" t="e">
        <f>IF(R37="PVC",VLOOKUP(Q37,Dados!L$3:M$18,2),IF(R37="EPR",VLOOKUP(Q37,Dados!L$3:N$18,3)))</f>
        <v>#N/A</v>
      </c>
      <c r="U37" s="143" t="s">
        <v>140</v>
      </c>
      <c r="V37" s="62"/>
      <c r="W37" s="145"/>
      <c r="X37" s="140"/>
      <c r="Y37" s="137"/>
      <c r="Z37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7" s="63"/>
      <c r="AB37" s="101" t="e">
        <f t="shared" si="4"/>
        <v>#N/A</v>
      </c>
      <c r="AC37" s="60">
        <v>1</v>
      </c>
      <c r="AD37" s="51">
        <f t="shared" si="5"/>
        <v>0</v>
      </c>
      <c r="AE37" s="56">
        <f t="shared" si="6"/>
        <v>0</v>
      </c>
      <c r="AF37" s="56">
        <f t="shared" si="7"/>
        <v>0</v>
      </c>
      <c r="AG37" s="56">
        <f t="shared" si="8"/>
        <v>0</v>
      </c>
      <c r="AH37" s="89">
        <f t="shared" si="9"/>
        <v>219.39310229205779</v>
      </c>
      <c r="AI37" s="90" t="e">
        <f>VLOOKUP(Q37,Dados!$T$4:$U$19,2,FALSE)</f>
        <v>#N/A</v>
      </c>
      <c r="AJ37" s="91">
        <v>1</v>
      </c>
    </row>
    <row r="38" spans="1:36" customFormat="1">
      <c r="A38" s="61"/>
      <c r="B38" s="52" t="s">
        <v>134</v>
      </c>
      <c r="C38" s="52"/>
      <c r="D38" s="52"/>
      <c r="E38" s="53"/>
      <c r="F38" s="53"/>
      <c r="G38" s="53" t="s">
        <v>137</v>
      </c>
      <c r="H38" s="53"/>
      <c r="I38" s="54"/>
      <c r="J38" s="55">
        <f t="shared" si="0"/>
        <v>0</v>
      </c>
      <c r="K38" s="56">
        <v>0.92</v>
      </c>
      <c r="L38" s="57">
        <f t="shared" si="1"/>
        <v>0</v>
      </c>
      <c r="M38" s="57">
        <f t="shared" si="2"/>
        <v>0</v>
      </c>
      <c r="N38" s="57">
        <f t="shared" si="3"/>
        <v>0</v>
      </c>
      <c r="O38" s="56"/>
      <c r="P38" s="56" t="s">
        <v>138</v>
      </c>
      <c r="Q38" s="56" t="e">
        <f>IF(R38="PVC",VLOOKUP(O38,Dados!C$3:D$19,2),IF(R38="EPR",VLOOKUP(O38,Dados!C$22:D$38,2)))</f>
        <v>#N/A</v>
      </c>
      <c r="R38" s="56" t="s">
        <v>139</v>
      </c>
      <c r="S38" s="51">
        <f t="shared" si="10"/>
        <v>0</v>
      </c>
      <c r="T38" s="56" t="e">
        <f>IF(R38="PVC",VLOOKUP(Q38,Dados!L$3:M$18,2),IF(R38="EPR",VLOOKUP(Q38,Dados!L$3:N$18,3)))</f>
        <v>#N/A</v>
      </c>
      <c r="U38" s="143" t="s">
        <v>140</v>
      </c>
      <c r="V38" s="62"/>
      <c r="W38" s="145"/>
      <c r="X38" s="140"/>
      <c r="Y38" s="137"/>
      <c r="Z38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8" s="63"/>
      <c r="AB38" s="101" t="e">
        <f t="shared" si="4"/>
        <v>#N/A</v>
      </c>
      <c r="AC38" s="60">
        <v>1</v>
      </c>
      <c r="AD38" s="51">
        <f t="shared" si="5"/>
        <v>0</v>
      </c>
      <c r="AE38" s="56">
        <f t="shared" si="6"/>
        <v>0</v>
      </c>
      <c r="AF38" s="56">
        <f t="shared" si="7"/>
        <v>0</v>
      </c>
      <c r="AG38" s="56">
        <f t="shared" si="8"/>
        <v>0</v>
      </c>
      <c r="AH38" s="89">
        <f t="shared" si="9"/>
        <v>219.39310229205779</v>
      </c>
      <c r="AI38" s="90" t="e">
        <f>VLOOKUP(Q38,Dados!$T$4:$U$19,2,FALSE)</f>
        <v>#N/A</v>
      </c>
      <c r="AJ38" s="91">
        <v>1</v>
      </c>
    </row>
    <row r="39" spans="1:36" customFormat="1">
      <c r="A39" s="52"/>
      <c r="B39" s="52"/>
      <c r="C39" s="52" t="s">
        <v>134</v>
      </c>
      <c r="D39" s="52"/>
      <c r="E39" s="53"/>
      <c r="F39" s="53"/>
      <c r="G39" s="53" t="s">
        <v>137</v>
      </c>
      <c r="H39" s="53"/>
      <c r="I39" s="54"/>
      <c r="J39" s="55">
        <f t="shared" si="0"/>
        <v>0</v>
      </c>
      <c r="K39" s="56">
        <v>0.92</v>
      </c>
      <c r="L39" s="57">
        <f t="shared" si="1"/>
        <v>0</v>
      </c>
      <c r="M39" s="57">
        <f t="shared" si="2"/>
        <v>0</v>
      </c>
      <c r="N39" s="57">
        <f t="shared" si="3"/>
        <v>0</v>
      </c>
      <c r="O39" s="56"/>
      <c r="P39" s="56" t="s">
        <v>138</v>
      </c>
      <c r="Q39" s="56" t="e">
        <f>IF(R39="PVC",VLOOKUP(O39,Dados!C$3:D$19,2),IF(R39="EPR",VLOOKUP(O39,Dados!C$22:D$38,2)))</f>
        <v>#N/A</v>
      </c>
      <c r="R39" s="56" t="s">
        <v>139</v>
      </c>
      <c r="S39" s="51">
        <f t="shared" si="10"/>
        <v>0</v>
      </c>
      <c r="T39" s="56" t="e">
        <f>IF(R39="PVC",VLOOKUP(Q39,Dados!L$3:M$18,2),IF(R39="EPR",VLOOKUP(Q39,Dados!L$3:N$18,3)))</f>
        <v>#N/A</v>
      </c>
      <c r="U39" s="143" t="s">
        <v>140</v>
      </c>
      <c r="V39" s="62"/>
      <c r="W39" s="145"/>
      <c r="X39" s="140"/>
      <c r="Y39" s="137"/>
      <c r="Z39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39" s="63"/>
      <c r="AB39" s="101" t="e">
        <f t="shared" si="4"/>
        <v>#N/A</v>
      </c>
      <c r="AC39" s="60">
        <v>1</v>
      </c>
      <c r="AD39" s="51">
        <f t="shared" si="5"/>
        <v>0</v>
      </c>
      <c r="AE39" s="56">
        <f t="shared" si="6"/>
        <v>0</v>
      </c>
      <c r="AF39" s="56">
        <f t="shared" si="7"/>
        <v>0</v>
      </c>
      <c r="AG39" s="56">
        <f t="shared" si="8"/>
        <v>0</v>
      </c>
      <c r="AH39" s="89">
        <f t="shared" si="9"/>
        <v>219.39310229205779</v>
      </c>
      <c r="AI39" s="90" t="e">
        <f>VLOOKUP(Q39,Dados!$T$4:$U$19,2,FALSE)</f>
        <v>#N/A</v>
      </c>
      <c r="AJ39" s="91">
        <v>1</v>
      </c>
    </row>
    <row r="40" spans="1:36" customFormat="1">
      <c r="A40" s="61" t="s">
        <v>134</v>
      </c>
      <c r="B40" s="52"/>
      <c r="C40" s="52"/>
      <c r="D40" s="52"/>
      <c r="E40" s="53"/>
      <c r="F40" s="53"/>
      <c r="G40" s="53" t="s">
        <v>137</v>
      </c>
      <c r="H40" s="53"/>
      <c r="I40" s="54"/>
      <c r="J40" s="55">
        <f t="shared" si="0"/>
        <v>0</v>
      </c>
      <c r="K40" s="56">
        <v>0.92</v>
      </c>
      <c r="L40" s="57">
        <f t="shared" si="1"/>
        <v>0</v>
      </c>
      <c r="M40" s="57">
        <f t="shared" si="2"/>
        <v>0</v>
      </c>
      <c r="N40" s="57">
        <f t="shared" si="3"/>
        <v>0</v>
      </c>
      <c r="O40" s="56"/>
      <c r="P40" s="56" t="s">
        <v>138</v>
      </c>
      <c r="Q40" s="56" t="e">
        <f>IF(R40="PVC",VLOOKUP(O40,Dados!C$3:D$19,2),IF(R40="EPR",VLOOKUP(O40,Dados!C$22:D$38,2)))</f>
        <v>#N/A</v>
      </c>
      <c r="R40" s="56" t="s">
        <v>139</v>
      </c>
      <c r="S40" s="51">
        <f t="shared" si="10"/>
        <v>0</v>
      </c>
      <c r="T40" s="56" t="e">
        <f>IF(R40="PVC",VLOOKUP(Q40,Dados!L$3:M$18,2),IF(R40="EPR",VLOOKUP(Q40,Dados!L$3:N$18,3)))</f>
        <v>#N/A</v>
      </c>
      <c r="U40" s="143" t="s">
        <v>140</v>
      </c>
      <c r="V40" s="62"/>
      <c r="W40" s="145"/>
      <c r="X40" s="140"/>
      <c r="Y40" s="137"/>
      <c r="Z40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0" s="63"/>
      <c r="AB40" s="101" t="e">
        <f t="shared" si="4"/>
        <v>#N/A</v>
      </c>
      <c r="AC40" s="60">
        <v>1</v>
      </c>
      <c r="AD40" s="51">
        <f t="shared" si="5"/>
        <v>0</v>
      </c>
      <c r="AE40" s="56">
        <f t="shared" si="6"/>
        <v>0</v>
      </c>
      <c r="AF40" s="56">
        <f t="shared" si="7"/>
        <v>0</v>
      </c>
      <c r="AG40" s="56">
        <f t="shared" si="8"/>
        <v>0</v>
      </c>
      <c r="AH40" s="89">
        <f t="shared" si="9"/>
        <v>219.39310229205779</v>
      </c>
      <c r="AI40" s="90" t="e">
        <f>VLOOKUP(Q40,Dados!$T$4:$U$19,2,FALSE)</f>
        <v>#N/A</v>
      </c>
      <c r="AJ40" s="91">
        <v>1</v>
      </c>
    </row>
    <row r="41" spans="1:36" customFormat="1">
      <c r="A41" s="52"/>
      <c r="B41" s="52" t="s">
        <v>134</v>
      </c>
      <c r="C41" s="52"/>
      <c r="D41" s="52"/>
      <c r="E41" s="53"/>
      <c r="F41" s="53"/>
      <c r="G41" s="53" t="s">
        <v>137</v>
      </c>
      <c r="H41" s="53"/>
      <c r="I41" s="54"/>
      <c r="J41" s="55">
        <f t="shared" si="0"/>
        <v>0</v>
      </c>
      <c r="K41" s="56">
        <v>0.92</v>
      </c>
      <c r="L41" s="57">
        <f t="shared" si="1"/>
        <v>0</v>
      </c>
      <c r="M41" s="57">
        <f t="shared" si="2"/>
        <v>0</v>
      </c>
      <c r="N41" s="57">
        <f t="shared" si="3"/>
        <v>0</v>
      </c>
      <c r="O41" s="56"/>
      <c r="P41" s="56" t="s">
        <v>138</v>
      </c>
      <c r="Q41" s="56" t="e">
        <f>IF(R41="PVC",VLOOKUP(O41,Dados!C$3:D$19,2),IF(R41="EPR",VLOOKUP(O41,Dados!C$22:D$38,2)))</f>
        <v>#N/A</v>
      </c>
      <c r="R41" s="56" t="s">
        <v>139</v>
      </c>
      <c r="S41" s="51">
        <f t="shared" si="10"/>
        <v>0</v>
      </c>
      <c r="T41" s="56" t="e">
        <f>IF(R41="PVC",VLOOKUP(Q41,Dados!L$3:M$18,2),IF(R41="EPR",VLOOKUP(Q41,Dados!L$3:N$18,3)))</f>
        <v>#N/A</v>
      </c>
      <c r="U41" s="143" t="s">
        <v>140</v>
      </c>
      <c r="V41" s="62"/>
      <c r="W41" s="145"/>
      <c r="X41" s="140"/>
      <c r="Y41" s="137"/>
      <c r="Z41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1" s="63"/>
      <c r="AB41" s="101" t="e">
        <f t="shared" si="4"/>
        <v>#N/A</v>
      </c>
      <c r="AC41" s="60">
        <v>1</v>
      </c>
      <c r="AD41" s="51">
        <f t="shared" si="5"/>
        <v>0</v>
      </c>
      <c r="AE41" s="56">
        <f t="shared" si="6"/>
        <v>0</v>
      </c>
      <c r="AF41" s="56">
        <f t="shared" si="7"/>
        <v>0</v>
      </c>
      <c r="AG41" s="56">
        <f t="shared" si="8"/>
        <v>0</v>
      </c>
      <c r="AH41" s="89">
        <f t="shared" si="9"/>
        <v>219.39310229205779</v>
      </c>
      <c r="AI41" s="90" t="e">
        <f>VLOOKUP(Q41,Dados!$T$4:$U$19,2,FALSE)</f>
        <v>#N/A</v>
      </c>
      <c r="AJ41" s="91">
        <v>1</v>
      </c>
    </row>
    <row r="42" spans="1:36" customFormat="1">
      <c r="A42" s="52"/>
      <c r="B42" s="52"/>
      <c r="C42" s="52" t="s">
        <v>134</v>
      </c>
      <c r="D42" s="52"/>
      <c r="E42" s="53"/>
      <c r="F42" s="53"/>
      <c r="G42" s="53" t="s">
        <v>137</v>
      </c>
      <c r="H42" s="53"/>
      <c r="I42" s="54"/>
      <c r="J42" s="55">
        <f t="shared" si="0"/>
        <v>0</v>
      </c>
      <c r="K42" s="56">
        <v>0.92</v>
      </c>
      <c r="L42" s="57">
        <f t="shared" si="1"/>
        <v>0</v>
      </c>
      <c r="M42" s="57">
        <f t="shared" si="2"/>
        <v>0</v>
      </c>
      <c r="N42" s="57">
        <f t="shared" si="3"/>
        <v>0</v>
      </c>
      <c r="O42" s="56"/>
      <c r="P42" s="56" t="s">
        <v>138</v>
      </c>
      <c r="Q42" s="56" t="e">
        <f>IF(R42="PVC",VLOOKUP(O42,Dados!C$3:D$19,2),IF(R42="EPR",VLOOKUP(O42,Dados!C$22:D$38,2)))</f>
        <v>#N/A</v>
      </c>
      <c r="R42" s="56" t="s">
        <v>139</v>
      </c>
      <c r="S42" s="51">
        <f t="shared" si="10"/>
        <v>0</v>
      </c>
      <c r="T42" s="56" t="e">
        <f>IF(R42="PVC",VLOOKUP(Q42,Dados!L$3:M$18,2),IF(R42="EPR",VLOOKUP(Q42,Dados!L$3:N$18,3)))</f>
        <v>#N/A</v>
      </c>
      <c r="U42" s="143" t="s">
        <v>140</v>
      </c>
      <c r="V42" s="62"/>
      <c r="W42" s="145"/>
      <c r="X42" s="140"/>
      <c r="Y42" s="137"/>
      <c r="Z42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2" s="63"/>
      <c r="AB42" s="101" t="e">
        <f t="shared" si="4"/>
        <v>#N/A</v>
      </c>
      <c r="AC42" s="60">
        <v>1</v>
      </c>
      <c r="AD42" s="51">
        <f t="shared" si="5"/>
        <v>0</v>
      </c>
      <c r="AE42" s="56">
        <f t="shared" si="6"/>
        <v>0</v>
      </c>
      <c r="AF42" s="56">
        <f t="shared" si="7"/>
        <v>0</v>
      </c>
      <c r="AG42" s="56">
        <f t="shared" si="8"/>
        <v>0</v>
      </c>
      <c r="AH42" s="89">
        <f t="shared" si="9"/>
        <v>219.39310229205779</v>
      </c>
      <c r="AI42" s="90" t="e">
        <f>VLOOKUP(Q42,Dados!$T$4:$U$19,2,FALSE)</f>
        <v>#N/A</v>
      </c>
      <c r="AJ42" s="91">
        <v>1</v>
      </c>
    </row>
    <row r="43" spans="1:36" customFormat="1">
      <c r="A43" s="52" t="s">
        <v>134</v>
      </c>
      <c r="B43" s="52"/>
      <c r="C43" s="52"/>
      <c r="D43" s="52"/>
      <c r="E43" s="53"/>
      <c r="F43" s="53"/>
      <c r="G43" s="53" t="s">
        <v>137</v>
      </c>
      <c r="H43" s="53"/>
      <c r="I43" s="54"/>
      <c r="J43" s="55">
        <f t="shared" si="0"/>
        <v>0</v>
      </c>
      <c r="K43" s="56">
        <v>0.92</v>
      </c>
      <c r="L43" s="57">
        <f t="shared" si="1"/>
        <v>0</v>
      </c>
      <c r="M43" s="57">
        <f t="shared" si="2"/>
        <v>0</v>
      </c>
      <c r="N43" s="57">
        <f t="shared" si="3"/>
        <v>0</v>
      </c>
      <c r="O43" s="56"/>
      <c r="P43" s="56" t="s">
        <v>138</v>
      </c>
      <c r="Q43" s="56" t="e">
        <f>IF(R43="PVC",VLOOKUP(O43,Dados!C$3:D$19,2),IF(R43="EPR",VLOOKUP(O43,Dados!C$22:D$38,2)))</f>
        <v>#N/A</v>
      </c>
      <c r="R43" s="56" t="s">
        <v>139</v>
      </c>
      <c r="S43" s="51">
        <f t="shared" si="10"/>
        <v>0</v>
      </c>
      <c r="T43" s="56" t="e">
        <f>IF(R43="PVC",VLOOKUP(Q43,Dados!L$3:M$18,2),IF(R43="EPR",VLOOKUP(Q43,Dados!L$3:N$18,3)))</f>
        <v>#N/A</v>
      </c>
      <c r="U43" s="143" t="s">
        <v>140</v>
      </c>
      <c r="V43" s="62"/>
      <c r="W43" s="145"/>
      <c r="X43" s="140"/>
      <c r="Y43" s="137"/>
      <c r="Z43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3" s="63"/>
      <c r="AB43" s="101" t="e">
        <f t="shared" si="4"/>
        <v>#N/A</v>
      </c>
      <c r="AC43" s="60">
        <v>1</v>
      </c>
      <c r="AD43" s="51">
        <f t="shared" si="5"/>
        <v>0</v>
      </c>
      <c r="AE43" s="56">
        <f t="shared" si="6"/>
        <v>0</v>
      </c>
      <c r="AF43" s="56">
        <f t="shared" si="7"/>
        <v>0</v>
      </c>
      <c r="AG43" s="56">
        <f t="shared" si="8"/>
        <v>0</v>
      </c>
      <c r="AH43" s="89">
        <f t="shared" si="9"/>
        <v>219.39310229205779</v>
      </c>
      <c r="AI43" s="90" t="e">
        <f>VLOOKUP(Q43,Dados!$T$4:$U$19,2,FALSE)</f>
        <v>#N/A</v>
      </c>
      <c r="AJ43" s="91">
        <v>1</v>
      </c>
    </row>
    <row r="44" spans="1:36" customFormat="1">
      <c r="A44" s="61"/>
      <c r="B44" s="52" t="s">
        <v>134</v>
      </c>
      <c r="C44" s="52"/>
      <c r="D44" s="52"/>
      <c r="E44" s="53"/>
      <c r="F44" s="53"/>
      <c r="G44" s="53" t="s">
        <v>137</v>
      </c>
      <c r="H44" s="53"/>
      <c r="I44" s="54"/>
      <c r="J44" s="55">
        <f t="shared" si="0"/>
        <v>0</v>
      </c>
      <c r="K44" s="56">
        <v>0.92</v>
      </c>
      <c r="L44" s="57">
        <f t="shared" si="1"/>
        <v>0</v>
      </c>
      <c r="M44" s="57">
        <f t="shared" si="2"/>
        <v>0</v>
      </c>
      <c r="N44" s="57">
        <f t="shared" si="3"/>
        <v>0</v>
      </c>
      <c r="O44" s="56"/>
      <c r="P44" s="56" t="s">
        <v>138</v>
      </c>
      <c r="Q44" s="56" t="e">
        <f>IF(R44="PVC",VLOOKUP(O44,Dados!C$3:D$19,2),IF(R44="EPR",VLOOKUP(O44,Dados!C$22:D$38,2)))</f>
        <v>#N/A</v>
      </c>
      <c r="R44" s="56" t="s">
        <v>139</v>
      </c>
      <c r="S44" s="51">
        <f t="shared" si="10"/>
        <v>0</v>
      </c>
      <c r="T44" s="56" t="e">
        <f>IF(R44="PVC",VLOOKUP(Q44,Dados!L$3:M$18,2),IF(R44="EPR",VLOOKUP(Q44,Dados!L$3:N$18,3)))</f>
        <v>#N/A</v>
      </c>
      <c r="U44" s="143" t="s">
        <v>140</v>
      </c>
      <c r="V44" s="62"/>
      <c r="W44" s="145"/>
      <c r="X44" s="140"/>
      <c r="Y44" s="137"/>
      <c r="Z44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4" s="63"/>
      <c r="AB44" s="101" t="e">
        <f t="shared" si="4"/>
        <v>#N/A</v>
      </c>
      <c r="AC44" s="60">
        <v>1</v>
      </c>
      <c r="AD44" s="51">
        <f t="shared" si="5"/>
        <v>0</v>
      </c>
      <c r="AE44" s="56">
        <f t="shared" si="6"/>
        <v>0</v>
      </c>
      <c r="AF44" s="56">
        <f t="shared" si="7"/>
        <v>0</v>
      </c>
      <c r="AG44" s="56">
        <f t="shared" si="8"/>
        <v>0</v>
      </c>
      <c r="AH44" s="89">
        <f t="shared" si="9"/>
        <v>219.39310229205779</v>
      </c>
      <c r="AI44" s="90" t="e">
        <f>VLOOKUP(Q44,Dados!$T$4:$U$19,2,FALSE)</f>
        <v>#N/A</v>
      </c>
      <c r="AJ44" s="91">
        <v>1</v>
      </c>
    </row>
    <row r="45" spans="1:36" customFormat="1">
      <c r="A45" s="52"/>
      <c r="B45" s="52"/>
      <c r="C45" s="52" t="s">
        <v>134</v>
      </c>
      <c r="D45" s="52"/>
      <c r="E45" s="53"/>
      <c r="F45" s="53"/>
      <c r="G45" s="53" t="s">
        <v>137</v>
      </c>
      <c r="H45" s="53"/>
      <c r="I45" s="54"/>
      <c r="J45" s="55">
        <f t="shared" si="0"/>
        <v>0</v>
      </c>
      <c r="K45" s="56">
        <v>0.92</v>
      </c>
      <c r="L45" s="57">
        <f t="shared" si="1"/>
        <v>0</v>
      </c>
      <c r="M45" s="57">
        <f t="shared" si="2"/>
        <v>0</v>
      </c>
      <c r="N45" s="57">
        <f t="shared" si="3"/>
        <v>0</v>
      </c>
      <c r="O45" s="56"/>
      <c r="P45" s="56" t="s">
        <v>138</v>
      </c>
      <c r="Q45" s="56" t="e">
        <f>IF(R45="PVC",VLOOKUP(O45,Dados!C$3:D$19,2),IF(R45="EPR",VLOOKUP(O45,Dados!C$22:D$38,2)))</f>
        <v>#N/A</v>
      </c>
      <c r="R45" s="56" t="s">
        <v>139</v>
      </c>
      <c r="S45" s="51">
        <f t="shared" si="10"/>
        <v>0</v>
      </c>
      <c r="T45" s="56" t="e">
        <f>IF(R45="PVC",VLOOKUP(Q45,Dados!L$3:M$18,2),IF(R45="EPR",VLOOKUP(Q45,Dados!L$3:N$18,3)))</f>
        <v>#N/A</v>
      </c>
      <c r="U45" s="143" t="s">
        <v>140</v>
      </c>
      <c r="V45" s="62"/>
      <c r="W45" s="145"/>
      <c r="X45" s="140"/>
      <c r="Y45" s="137"/>
      <c r="Z45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5" s="63"/>
      <c r="AB45" s="101" t="e">
        <f t="shared" si="4"/>
        <v>#N/A</v>
      </c>
      <c r="AC45" s="60">
        <v>1</v>
      </c>
      <c r="AD45" s="51">
        <f t="shared" si="5"/>
        <v>0</v>
      </c>
      <c r="AE45" s="56">
        <f t="shared" si="6"/>
        <v>0</v>
      </c>
      <c r="AF45" s="56">
        <f t="shared" si="7"/>
        <v>0</v>
      </c>
      <c r="AG45" s="56">
        <f t="shared" si="8"/>
        <v>0</v>
      </c>
      <c r="AH45" s="89">
        <f t="shared" si="9"/>
        <v>219.39310229205779</v>
      </c>
      <c r="AI45" s="90" t="e">
        <f>VLOOKUP(Q45,Dados!$T$4:$U$19,2,FALSE)</f>
        <v>#N/A</v>
      </c>
      <c r="AJ45" s="91">
        <v>1</v>
      </c>
    </row>
    <row r="46" spans="1:36" customFormat="1">
      <c r="A46" s="61" t="s">
        <v>134</v>
      </c>
      <c r="B46" s="52"/>
      <c r="C46" s="52"/>
      <c r="D46" s="52"/>
      <c r="E46" s="53"/>
      <c r="F46" s="53"/>
      <c r="G46" s="53" t="s">
        <v>137</v>
      </c>
      <c r="H46" s="53"/>
      <c r="I46" s="54"/>
      <c r="J46" s="55">
        <f t="shared" si="0"/>
        <v>0</v>
      </c>
      <c r="K46" s="56">
        <v>0.92</v>
      </c>
      <c r="L46" s="57">
        <f t="shared" si="1"/>
        <v>0</v>
      </c>
      <c r="M46" s="57">
        <f t="shared" si="2"/>
        <v>0</v>
      </c>
      <c r="N46" s="57">
        <f t="shared" si="3"/>
        <v>0</v>
      </c>
      <c r="O46" s="56"/>
      <c r="P46" s="56" t="s">
        <v>138</v>
      </c>
      <c r="Q46" s="56" t="e">
        <f>IF(R46="PVC",VLOOKUP(O46,Dados!C$3:D$19,2),IF(R46="EPR",VLOOKUP(O46,Dados!C$22:D$38,2)))</f>
        <v>#N/A</v>
      </c>
      <c r="R46" s="56" t="s">
        <v>139</v>
      </c>
      <c r="S46" s="51">
        <f t="shared" si="10"/>
        <v>0</v>
      </c>
      <c r="T46" s="56" t="e">
        <f>IF(R46="PVC",VLOOKUP(Q46,Dados!L$3:M$18,2),IF(R46="EPR",VLOOKUP(Q46,Dados!L$3:N$18,3)))</f>
        <v>#N/A</v>
      </c>
      <c r="U46" s="143" t="s">
        <v>140</v>
      </c>
      <c r="V46" s="62"/>
      <c r="W46" s="145"/>
      <c r="X46" s="140"/>
      <c r="Y46" s="137"/>
      <c r="Z46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6" s="63"/>
      <c r="AB46" s="101" t="e">
        <f t="shared" si="4"/>
        <v>#N/A</v>
      </c>
      <c r="AC46" s="60">
        <v>1</v>
      </c>
      <c r="AD46" s="51">
        <f t="shared" si="5"/>
        <v>0</v>
      </c>
      <c r="AE46" s="56">
        <f t="shared" si="6"/>
        <v>0</v>
      </c>
      <c r="AF46" s="56">
        <f t="shared" si="7"/>
        <v>0</v>
      </c>
      <c r="AG46" s="56">
        <f t="shared" si="8"/>
        <v>0</v>
      </c>
      <c r="AH46" s="89">
        <f t="shared" si="9"/>
        <v>219.39310229205779</v>
      </c>
      <c r="AI46" s="90" t="e">
        <f>VLOOKUP(Q46,Dados!$T$4:$U$19,2,FALSE)</f>
        <v>#N/A</v>
      </c>
      <c r="AJ46" s="91">
        <v>1</v>
      </c>
    </row>
    <row r="47" spans="1:36" customFormat="1">
      <c r="A47" s="52"/>
      <c r="B47" s="52" t="s">
        <v>134</v>
      </c>
      <c r="C47" s="52"/>
      <c r="D47" s="52"/>
      <c r="E47" s="53"/>
      <c r="F47" s="53"/>
      <c r="G47" s="53" t="s">
        <v>137</v>
      </c>
      <c r="H47" s="53"/>
      <c r="I47" s="54"/>
      <c r="J47" s="55">
        <f t="shared" si="0"/>
        <v>0</v>
      </c>
      <c r="K47" s="56">
        <v>0.92</v>
      </c>
      <c r="L47" s="57">
        <f t="shared" si="1"/>
        <v>0</v>
      </c>
      <c r="M47" s="57">
        <f t="shared" si="2"/>
        <v>0</v>
      </c>
      <c r="N47" s="57">
        <f t="shared" si="3"/>
        <v>0</v>
      </c>
      <c r="O47" s="56"/>
      <c r="P47" s="56" t="s">
        <v>138</v>
      </c>
      <c r="Q47" s="56" t="e">
        <f>IF(R47="PVC",VLOOKUP(O47,Dados!C$3:D$19,2),IF(R47="EPR",VLOOKUP(O47,Dados!C$22:D$38,2)))</f>
        <v>#N/A</v>
      </c>
      <c r="R47" s="56" t="s">
        <v>139</v>
      </c>
      <c r="S47" s="51">
        <f t="shared" si="10"/>
        <v>0</v>
      </c>
      <c r="T47" s="56" t="e">
        <f>IF(R47="PVC",VLOOKUP(Q47,Dados!L$3:M$18,2),IF(R47="EPR",VLOOKUP(Q47,Dados!L$3:N$18,3)))</f>
        <v>#N/A</v>
      </c>
      <c r="U47" s="143" t="s">
        <v>140</v>
      </c>
      <c r="V47" s="62"/>
      <c r="W47" s="145"/>
      <c r="X47" s="140"/>
      <c r="Y47" s="137"/>
      <c r="Z47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7" s="63"/>
      <c r="AB47" s="101" t="e">
        <f t="shared" si="4"/>
        <v>#N/A</v>
      </c>
      <c r="AC47" s="60">
        <v>1</v>
      </c>
      <c r="AD47" s="51">
        <f t="shared" si="5"/>
        <v>0</v>
      </c>
      <c r="AE47" s="56">
        <f t="shared" si="6"/>
        <v>0</v>
      </c>
      <c r="AF47" s="56">
        <f t="shared" si="7"/>
        <v>0</v>
      </c>
      <c r="AG47" s="56">
        <f t="shared" si="8"/>
        <v>0</v>
      </c>
      <c r="AH47" s="89">
        <f t="shared" si="9"/>
        <v>219.39310229205779</v>
      </c>
      <c r="AI47" s="90" t="e">
        <f>VLOOKUP(Q47,Dados!$T$4:$U$19,2,FALSE)</f>
        <v>#N/A</v>
      </c>
      <c r="AJ47" s="91">
        <v>1</v>
      </c>
    </row>
    <row r="48" spans="1:36" customFormat="1">
      <c r="A48" s="52"/>
      <c r="B48" s="52"/>
      <c r="C48" s="52" t="s">
        <v>134</v>
      </c>
      <c r="D48" s="52"/>
      <c r="E48" s="53"/>
      <c r="F48" s="53"/>
      <c r="G48" s="53" t="s">
        <v>137</v>
      </c>
      <c r="H48" s="53"/>
      <c r="I48" s="54"/>
      <c r="J48" s="55">
        <f t="shared" si="0"/>
        <v>0</v>
      </c>
      <c r="K48" s="56">
        <v>0.92</v>
      </c>
      <c r="L48" s="57">
        <f t="shared" si="1"/>
        <v>0</v>
      </c>
      <c r="M48" s="57">
        <f t="shared" si="2"/>
        <v>0</v>
      </c>
      <c r="N48" s="57">
        <f t="shared" si="3"/>
        <v>0</v>
      </c>
      <c r="O48" s="56"/>
      <c r="P48" s="56" t="s">
        <v>138</v>
      </c>
      <c r="Q48" s="56" t="e">
        <f>IF(R48="PVC",VLOOKUP(O48,Dados!C$3:D$19,2),IF(R48="EPR",VLOOKUP(O48,Dados!C$22:D$38,2)))</f>
        <v>#N/A</v>
      </c>
      <c r="R48" s="56" t="s">
        <v>139</v>
      </c>
      <c r="S48" s="51">
        <f t="shared" si="10"/>
        <v>0</v>
      </c>
      <c r="T48" s="56" t="e">
        <f>IF(R48="PVC",VLOOKUP(Q48,Dados!L$3:M$18,2),IF(R48="EPR",VLOOKUP(Q48,Dados!L$3:N$18,3)))</f>
        <v>#N/A</v>
      </c>
      <c r="U48" s="143" t="s">
        <v>140</v>
      </c>
      <c r="V48" s="62"/>
      <c r="W48" s="145"/>
      <c r="X48" s="140"/>
      <c r="Y48" s="137"/>
      <c r="Z48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8" s="63"/>
      <c r="AB48" s="101" t="e">
        <f t="shared" si="4"/>
        <v>#N/A</v>
      </c>
      <c r="AC48" s="60">
        <v>1</v>
      </c>
      <c r="AD48" s="51">
        <f t="shared" si="5"/>
        <v>0</v>
      </c>
      <c r="AE48" s="56">
        <f t="shared" si="6"/>
        <v>0</v>
      </c>
      <c r="AF48" s="56">
        <f t="shared" si="7"/>
        <v>0</v>
      </c>
      <c r="AG48" s="56">
        <f t="shared" si="8"/>
        <v>0</v>
      </c>
      <c r="AH48" s="89">
        <f t="shared" si="9"/>
        <v>219.39310229205779</v>
      </c>
      <c r="AI48" s="90" t="e">
        <f>VLOOKUP(Q48,Dados!$T$4:$U$19,2,FALSE)</f>
        <v>#N/A</v>
      </c>
      <c r="AJ48" s="91">
        <v>1</v>
      </c>
    </row>
    <row r="49" spans="1:36" customFormat="1">
      <c r="A49" s="52" t="s">
        <v>134</v>
      </c>
      <c r="B49" s="52"/>
      <c r="C49" s="52"/>
      <c r="D49" s="52"/>
      <c r="E49" s="53"/>
      <c r="F49" s="53"/>
      <c r="G49" s="53" t="s">
        <v>137</v>
      </c>
      <c r="H49" s="53"/>
      <c r="I49" s="54"/>
      <c r="J49" s="55">
        <f t="shared" si="0"/>
        <v>0</v>
      </c>
      <c r="K49" s="56">
        <v>0.92</v>
      </c>
      <c r="L49" s="57">
        <f t="shared" si="1"/>
        <v>0</v>
      </c>
      <c r="M49" s="57">
        <f t="shared" si="2"/>
        <v>0</v>
      </c>
      <c r="N49" s="57">
        <f t="shared" si="3"/>
        <v>0</v>
      </c>
      <c r="O49" s="56"/>
      <c r="P49" s="56" t="s">
        <v>138</v>
      </c>
      <c r="Q49" s="56" t="e">
        <f>IF(R49="PVC",VLOOKUP(O49,Dados!C$3:D$19,2),IF(R49="EPR",VLOOKUP(O49,Dados!C$22:D$38,2)))</f>
        <v>#N/A</v>
      </c>
      <c r="R49" s="56" t="s">
        <v>139</v>
      </c>
      <c r="S49" s="51">
        <f t="shared" si="10"/>
        <v>0</v>
      </c>
      <c r="T49" s="56" t="e">
        <f>IF(R49="PVC",VLOOKUP(Q49,Dados!L$3:M$18,2),IF(R49="EPR",VLOOKUP(Q49,Dados!L$3:N$18,3)))</f>
        <v>#N/A</v>
      </c>
      <c r="U49" s="143" t="s">
        <v>140</v>
      </c>
      <c r="V49" s="62"/>
      <c r="W49" s="145"/>
      <c r="X49" s="140"/>
      <c r="Y49" s="137"/>
      <c r="Z49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49" s="63"/>
      <c r="AB49" s="101" t="e">
        <f t="shared" si="4"/>
        <v>#N/A</v>
      </c>
      <c r="AC49" s="60">
        <v>1</v>
      </c>
      <c r="AD49" s="51">
        <f t="shared" si="5"/>
        <v>0</v>
      </c>
      <c r="AE49" s="56">
        <f t="shared" si="6"/>
        <v>0</v>
      </c>
      <c r="AF49" s="56">
        <f t="shared" si="7"/>
        <v>0</v>
      </c>
      <c r="AG49" s="56">
        <f t="shared" si="8"/>
        <v>0</v>
      </c>
      <c r="AH49" s="89">
        <f t="shared" si="9"/>
        <v>219.39310229205779</v>
      </c>
      <c r="AI49" s="90" t="e">
        <f>VLOOKUP(Q49,Dados!$T$4:$U$19,2,FALSE)</f>
        <v>#N/A</v>
      </c>
      <c r="AJ49" s="91">
        <v>1</v>
      </c>
    </row>
    <row r="50" spans="1:36" customFormat="1">
      <c r="A50" s="61"/>
      <c r="B50" s="52" t="s">
        <v>134</v>
      </c>
      <c r="C50" s="52"/>
      <c r="D50" s="52"/>
      <c r="E50" s="53"/>
      <c r="F50" s="53"/>
      <c r="G50" s="53" t="s">
        <v>137</v>
      </c>
      <c r="H50" s="53"/>
      <c r="I50" s="54"/>
      <c r="J50" s="55">
        <f t="shared" si="0"/>
        <v>0</v>
      </c>
      <c r="K50" s="56">
        <v>0.92</v>
      </c>
      <c r="L50" s="57">
        <f t="shared" si="1"/>
        <v>0</v>
      </c>
      <c r="M50" s="57">
        <f t="shared" si="2"/>
        <v>0</v>
      </c>
      <c r="N50" s="57">
        <f t="shared" si="3"/>
        <v>0</v>
      </c>
      <c r="O50" s="56"/>
      <c r="P50" s="56" t="s">
        <v>138</v>
      </c>
      <c r="Q50" s="56" t="e">
        <f>IF(R50="PVC",VLOOKUP(O50,Dados!C$3:D$19,2),IF(R50="EPR",VLOOKUP(O50,Dados!C$22:D$38,2)))</f>
        <v>#N/A</v>
      </c>
      <c r="R50" s="56" t="s">
        <v>139</v>
      </c>
      <c r="S50" s="51">
        <f t="shared" si="10"/>
        <v>0</v>
      </c>
      <c r="T50" s="56" t="e">
        <f>IF(R50="PVC",VLOOKUP(Q50,Dados!L$3:M$18,2),IF(R50="EPR",VLOOKUP(Q50,Dados!L$3:N$18,3)))</f>
        <v>#N/A</v>
      </c>
      <c r="U50" s="143" t="s">
        <v>140</v>
      </c>
      <c r="V50" s="62"/>
      <c r="W50" s="145"/>
      <c r="X50" s="140"/>
      <c r="Y50" s="137"/>
      <c r="Z50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0" s="63"/>
      <c r="AB50" s="101" t="e">
        <f t="shared" si="4"/>
        <v>#N/A</v>
      </c>
      <c r="AC50" s="60">
        <v>1</v>
      </c>
      <c r="AD50" s="51">
        <f t="shared" si="5"/>
        <v>0</v>
      </c>
      <c r="AE50" s="56">
        <f t="shared" si="6"/>
        <v>0</v>
      </c>
      <c r="AF50" s="56">
        <f t="shared" si="7"/>
        <v>0</v>
      </c>
      <c r="AG50" s="56">
        <f t="shared" si="8"/>
        <v>0</v>
      </c>
      <c r="AH50" s="89">
        <f t="shared" si="9"/>
        <v>219.39310229205779</v>
      </c>
      <c r="AI50" s="90" t="e">
        <f>VLOOKUP(Q50,Dados!$T$4:$U$19,2,FALSE)</f>
        <v>#N/A</v>
      </c>
      <c r="AJ50" s="91">
        <v>1</v>
      </c>
    </row>
    <row r="51" spans="1:36" customFormat="1">
      <c r="A51" s="52"/>
      <c r="B51" s="52"/>
      <c r="C51" s="52" t="s">
        <v>134</v>
      </c>
      <c r="D51" s="52"/>
      <c r="E51" s="53"/>
      <c r="F51" s="53"/>
      <c r="G51" s="53" t="s">
        <v>137</v>
      </c>
      <c r="H51" s="53"/>
      <c r="I51" s="54"/>
      <c r="J51" s="55">
        <f t="shared" si="0"/>
        <v>0</v>
      </c>
      <c r="K51" s="56">
        <v>0.92</v>
      </c>
      <c r="L51" s="57">
        <f t="shared" si="1"/>
        <v>0</v>
      </c>
      <c r="M51" s="57">
        <f t="shared" si="2"/>
        <v>0</v>
      </c>
      <c r="N51" s="57">
        <f t="shared" si="3"/>
        <v>0</v>
      </c>
      <c r="O51" s="56"/>
      <c r="P51" s="56" t="s">
        <v>138</v>
      </c>
      <c r="Q51" s="56" t="e">
        <f>IF(R51="PVC",VLOOKUP(O51,Dados!C$3:D$19,2),IF(R51="EPR",VLOOKUP(O51,Dados!C$22:D$38,2)))</f>
        <v>#N/A</v>
      </c>
      <c r="R51" s="56" t="s">
        <v>139</v>
      </c>
      <c r="S51" s="51">
        <f t="shared" si="10"/>
        <v>0</v>
      </c>
      <c r="T51" s="56" t="e">
        <f>IF(R51="PVC",VLOOKUP(Q51,Dados!L$3:M$18,2),IF(R51="EPR",VLOOKUP(Q51,Dados!L$3:N$18,3)))</f>
        <v>#N/A</v>
      </c>
      <c r="U51" s="143" t="s">
        <v>140</v>
      </c>
      <c r="V51" s="62"/>
      <c r="W51" s="145"/>
      <c r="X51" s="140"/>
      <c r="Y51" s="137"/>
      <c r="Z51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1" s="63"/>
      <c r="AB51" s="101" t="e">
        <f t="shared" si="4"/>
        <v>#N/A</v>
      </c>
      <c r="AC51" s="60">
        <v>1</v>
      </c>
      <c r="AD51" s="51">
        <f t="shared" si="5"/>
        <v>0</v>
      </c>
      <c r="AE51" s="56">
        <f t="shared" si="6"/>
        <v>0</v>
      </c>
      <c r="AF51" s="56">
        <f t="shared" si="7"/>
        <v>0</v>
      </c>
      <c r="AG51" s="56">
        <f t="shared" si="8"/>
        <v>0</v>
      </c>
      <c r="AH51" s="89">
        <f t="shared" si="9"/>
        <v>219.39310229205779</v>
      </c>
      <c r="AI51" s="90" t="e">
        <f>VLOOKUP(Q51,Dados!$T$4:$U$19,2,FALSE)</f>
        <v>#N/A</v>
      </c>
      <c r="AJ51" s="91">
        <v>1</v>
      </c>
    </row>
    <row r="52" spans="1:36" customFormat="1">
      <c r="A52" s="61" t="s">
        <v>134</v>
      </c>
      <c r="B52" s="52"/>
      <c r="C52" s="52"/>
      <c r="D52" s="52"/>
      <c r="E52" s="53"/>
      <c r="F52" s="53"/>
      <c r="G52" s="53" t="s">
        <v>137</v>
      </c>
      <c r="H52" s="53"/>
      <c r="I52" s="54"/>
      <c r="J52" s="55">
        <f t="shared" si="0"/>
        <v>0</v>
      </c>
      <c r="K52" s="56">
        <v>0.92</v>
      </c>
      <c r="L52" s="57">
        <f t="shared" si="1"/>
        <v>0</v>
      </c>
      <c r="M52" s="57">
        <f t="shared" si="2"/>
        <v>0</v>
      </c>
      <c r="N52" s="57">
        <f t="shared" si="3"/>
        <v>0</v>
      </c>
      <c r="O52" s="56"/>
      <c r="P52" s="56" t="s">
        <v>138</v>
      </c>
      <c r="Q52" s="56" t="e">
        <f>IF(R52="PVC",VLOOKUP(O52,Dados!C$3:D$19,2),IF(R52="EPR",VLOOKUP(O52,Dados!C$22:D$38,2)))</f>
        <v>#N/A</v>
      </c>
      <c r="R52" s="56" t="s">
        <v>139</v>
      </c>
      <c r="S52" s="51">
        <f t="shared" si="10"/>
        <v>0</v>
      </c>
      <c r="T52" s="56" t="e">
        <f>IF(R52="PVC",VLOOKUP(Q52,Dados!L$3:M$18,2),IF(R52="EPR",VLOOKUP(Q52,Dados!L$3:N$18,3)))</f>
        <v>#N/A</v>
      </c>
      <c r="U52" s="143" t="s">
        <v>140</v>
      </c>
      <c r="V52" s="62"/>
      <c r="W52" s="145"/>
      <c r="X52" s="140"/>
      <c r="Y52" s="137"/>
      <c r="Z52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2" s="63"/>
      <c r="AB52" s="101" t="e">
        <f t="shared" si="4"/>
        <v>#N/A</v>
      </c>
      <c r="AC52" s="60">
        <v>1</v>
      </c>
      <c r="AD52" s="51">
        <f t="shared" si="5"/>
        <v>0</v>
      </c>
      <c r="AE52" s="56">
        <f t="shared" si="6"/>
        <v>0</v>
      </c>
      <c r="AF52" s="56">
        <f t="shared" si="7"/>
        <v>0</v>
      </c>
      <c r="AG52" s="56">
        <f t="shared" si="8"/>
        <v>0</v>
      </c>
      <c r="AH52" s="89">
        <f t="shared" si="9"/>
        <v>219.39310229205779</v>
      </c>
      <c r="AI52" s="90" t="e">
        <f>VLOOKUP(Q52,Dados!$T$4:$U$19,2,FALSE)</f>
        <v>#N/A</v>
      </c>
      <c r="AJ52" s="91">
        <v>1</v>
      </c>
    </row>
    <row r="53" spans="1:36" customFormat="1">
      <c r="A53" s="52"/>
      <c r="B53" s="52" t="s">
        <v>134</v>
      </c>
      <c r="C53" s="52"/>
      <c r="D53" s="52"/>
      <c r="E53" s="53"/>
      <c r="F53" s="53"/>
      <c r="G53" s="53" t="s">
        <v>137</v>
      </c>
      <c r="H53" s="53"/>
      <c r="I53" s="54"/>
      <c r="J53" s="55">
        <f t="shared" si="0"/>
        <v>0</v>
      </c>
      <c r="K53" s="56">
        <v>0.92</v>
      </c>
      <c r="L53" s="57">
        <f t="shared" si="1"/>
        <v>0</v>
      </c>
      <c r="M53" s="57">
        <f t="shared" si="2"/>
        <v>0</v>
      </c>
      <c r="N53" s="57">
        <f t="shared" si="3"/>
        <v>0</v>
      </c>
      <c r="O53" s="56"/>
      <c r="P53" s="56" t="s">
        <v>138</v>
      </c>
      <c r="Q53" s="56" t="e">
        <f>IF(R53="PVC",VLOOKUP(O53,Dados!C$3:D$19,2),IF(R53="EPR",VLOOKUP(O53,Dados!C$22:D$38,2)))</f>
        <v>#N/A</v>
      </c>
      <c r="R53" s="56" t="s">
        <v>139</v>
      </c>
      <c r="S53" s="51">
        <f t="shared" si="10"/>
        <v>0</v>
      </c>
      <c r="T53" s="56" t="e">
        <f>IF(R53="PVC",VLOOKUP(Q53,Dados!L$3:M$18,2),IF(R53="EPR",VLOOKUP(Q53,Dados!L$3:N$18,3)))</f>
        <v>#N/A</v>
      </c>
      <c r="U53" s="143" t="s">
        <v>140</v>
      </c>
      <c r="V53" s="62"/>
      <c r="W53" s="145"/>
      <c r="X53" s="140"/>
      <c r="Y53" s="137"/>
      <c r="Z53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3" s="63"/>
      <c r="AB53" s="101" t="e">
        <f t="shared" si="4"/>
        <v>#N/A</v>
      </c>
      <c r="AC53" s="60">
        <v>1</v>
      </c>
      <c r="AD53" s="51">
        <f t="shared" si="5"/>
        <v>0</v>
      </c>
      <c r="AE53" s="56">
        <f t="shared" si="6"/>
        <v>0</v>
      </c>
      <c r="AF53" s="56">
        <f t="shared" si="7"/>
        <v>0</v>
      </c>
      <c r="AG53" s="56">
        <f t="shared" si="8"/>
        <v>0</v>
      </c>
      <c r="AH53" s="89">
        <f t="shared" si="9"/>
        <v>219.39310229205779</v>
      </c>
      <c r="AI53" s="90" t="e">
        <f>VLOOKUP(Q53,Dados!$T$4:$U$19,2,FALSE)</f>
        <v>#N/A</v>
      </c>
      <c r="AJ53" s="91">
        <v>1</v>
      </c>
    </row>
    <row r="54" spans="1:36" customFormat="1">
      <c r="A54" s="52"/>
      <c r="B54" s="52"/>
      <c r="C54" s="52" t="s">
        <v>134</v>
      </c>
      <c r="D54" s="52"/>
      <c r="E54" s="53"/>
      <c r="F54" s="53"/>
      <c r="G54" s="53" t="s">
        <v>137</v>
      </c>
      <c r="H54" s="53"/>
      <c r="I54" s="54"/>
      <c r="J54" s="55">
        <f t="shared" si="0"/>
        <v>0</v>
      </c>
      <c r="K54" s="56">
        <v>0.92</v>
      </c>
      <c r="L54" s="57">
        <f t="shared" si="1"/>
        <v>0</v>
      </c>
      <c r="M54" s="57">
        <f t="shared" si="2"/>
        <v>0</v>
      </c>
      <c r="N54" s="57">
        <f t="shared" si="3"/>
        <v>0</v>
      </c>
      <c r="O54" s="56"/>
      <c r="P54" s="56" t="s">
        <v>138</v>
      </c>
      <c r="Q54" s="56" t="e">
        <f>IF(R54="PVC",VLOOKUP(O54,Dados!C$3:D$19,2),IF(R54="EPR",VLOOKUP(O54,Dados!C$22:D$38,2)))</f>
        <v>#N/A</v>
      </c>
      <c r="R54" s="56" t="s">
        <v>139</v>
      </c>
      <c r="S54" s="51">
        <f t="shared" si="10"/>
        <v>0</v>
      </c>
      <c r="T54" s="56" t="e">
        <f>IF(R54="PVC",VLOOKUP(Q54,Dados!L$3:M$18,2),IF(R54="EPR",VLOOKUP(Q54,Dados!L$3:N$18,3)))</f>
        <v>#N/A</v>
      </c>
      <c r="U54" s="143" t="s">
        <v>140</v>
      </c>
      <c r="V54" s="62"/>
      <c r="W54" s="145"/>
      <c r="X54" s="140"/>
      <c r="Y54" s="137"/>
      <c r="Z54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4" s="63"/>
      <c r="AB54" s="101" t="e">
        <f t="shared" si="4"/>
        <v>#N/A</v>
      </c>
      <c r="AC54" s="60">
        <v>1</v>
      </c>
      <c r="AD54" s="51">
        <f t="shared" si="5"/>
        <v>0</v>
      </c>
      <c r="AE54" s="56">
        <f t="shared" si="6"/>
        <v>0</v>
      </c>
      <c r="AF54" s="56">
        <f t="shared" si="7"/>
        <v>0</v>
      </c>
      <c r="AG54" s="56">
        <f t="shared" si="8"/>
        <v>0</v>
      </c>
      <c r="AH54" s="89">
        <f t="shared" si="9"/>
        <v>219.39310229205779</v>
      </c>
      <c r="AI54" s="90" t="e">
        <f>VLOOKUP(Q54,Dados!$T$4:$U$19,2,FALSE)</f>
        <v>#N/A</v>
      </c>
      <c r="AJ54" s="91">
        <v>1</v>
      </c>
    </row>
    <row r="55" spans="1:36" customFormat="1">
      <c r="A55" s="52" t="s">
        <v>134</v>
      </c>
      <c r="B55" s="52"/>
      <c r="C55" s="52"/>
      <c r="D55" s="52"/>
      <c r="E55" s="53"/>
      <c r="F55" s="53"/>
      <c r="G55" s="53" t="s">
        <v>137</v>
      </c>
      <c r="H55" s="53"/>
      <c r="I55" s="54"/>
      <c r="J55" s="55">
        <f t="shared" si="0"/>
        <v>0</v>
      </c>
      <c r="K55" s="56">
        <v>0.92</v>
      </c>
      <c r="L55" s="57">
        <f t="shared" si="1"/>
        <v>0</v>
      </c>
      <c r="M55" s="57">
        <f t="shared" si="2"/>
        <v>0</v>
      </c>
      <c r="N55" s="57">
        <f t="shared" si="3"/>
        <v>0</v>
      </c>
      <c r="O55" s="56"/>
      <c r="P55" s="56" t="s">
        <v>138</v>
      </c>
      <c r="Q55" s="56" t="e">
        <f>IF(R55="PVC",VLOOKUP(O55,Dados!C$3:D$19,2),IF(R55="EPR",VLOOKUP(O55,Dados!C$22:D$38,2)))</f>
        <v>#N/A</v>
      </c>
      <c r="R55" s="56" t="s">
        <v>139</v>
      </c>
      <c r="S55" s="51">
        <f t="shared" si="10"/>
        <v>0</v>
      </c>
      <c r="T55" s="56" t="e">
        <f>IF(R55="PVC",VLOOKUP(Q55,Dados!L$3:M$18,2),IF(R55="EPR",VLOOKUP(Q55,Dados!L$3:N$18,3)))</f>
        <v>#N/A</v>
      </c>
      <c r="U55" s="143" t="s">
        <v>140</v>
      </c>
      <c r="V55" s="62"/>
      <c r="W55" s="145"/>
      <c r="X55" s="140"/>
      <c r="Y55" s="137"/>
      <c r="Z55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5" s="63"/>
      <c r="AB55" s="101" t="e">
        <f t="shared" si="4"/>
        <v>#N/A</v>
      </c>
      <c r="AC55" s="60">
        <v>1</v>
      </c>
      <c r="AD55" s="51">
        <f t="shared" si="5"/>
        <v>0</v>
      </c>
      <c r="AE55" s="56">
        <f t="shared" si="6"/>
        <v>0</v>
      </c>
      <c r="AF55" s="56">
        <f t="shared" si="7"/>
        <v>0</v>
      </c>
      <c r="AG55" s="56">
        <f t="shared" si="8"/>
        <v>0</v>
      </c>
      <c r="AH55" s="89">
        <f t="shared" si="9"/>
        <v>219.39310229205779</v>
      </c>
      <c r="AI55" s="90" t="e">
        <f>VLOOKUP(Q55,Dados!$T$4:$U$19,2,FALSE)</f>
        <v>#N/A</v>
      </c>
      <c r="AJ55" s="91">
        <v>1</v>
      </c>
    </row>
    <row r="56" spans="1:36" customFormat="1">
      <c r="A56" s="61"/>
      <c r="B56" s="52" t="s">
        <v>134</v>
      </c>
      <c r="C56" s="52"/>
      <c r="D56" s="52"/>
      <c r="E56" s="53"/>
      <c r="F56" s="53"/>
      <c r="G56" s="53" t="s">
        <v>137</v>
      </c>
      <c r="H56" s="53"/>
      <c r="I56" s="54"/>
      <c r="J56" s="55">
        <f t="shared" si="0"/>
        <v>0</v>
      </c>
      <c r="K56" s="56">
        <v>0.92</v>
      </c>
      <c r="L56" s="57">
        <f t="shared" si="1"/>
        <v>0</v>
      </c>
      <c r="M56" s="57">
        <f t="shared" si="2"/>
        <v>0</v>
      </c>
      <c r="N56" s="57">
        <f t="shared" si="3"/>
        <v>0</v>
      </c>
      <c r="O56" s="56"/>
      <c r="P56" s="56" t="s">
        <v>138</v>
      </c>
      <c r="Q56" s="56" t="e">
        <f>IF(R56="PVC",VLOOKUP(O56,Dados!C$3:D$19,2),IF(R56="EPR",VLOOKUP(O56,Dados!C$22:D$38,2)))</f>
        <v>#N/A</v>
      </c>
      <c r="R56" s="56" t="s">
        <v>139</v>
      </c>
      <c r="S56" s="51">
        <f t="shared" si="10"/>
        <v>0</v>
      </c>
      <c r="T56" s="56" t="e">
        <f>IF(R56="PVC",VLOOKUP(Q56,Dados!L$3:M$18,2),IF(R56="EPR",VLOOKUP(Q56,Dados!L$3:N$18,3)))</f>
        <v>#N/A</v>
      </c>
      <c r="U56" s="143" t="s">
        <v>140</v>
      </c>
      <c r="V56" s="62"/>
      <c r="W56" s="145"/>
      <c r="X56" s="140"/>
      <c r="Y56" s="137"/>
      <c r="Z56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6" s="63"/>
      <c r="AB56" s="101" t="e">
        <f t="shared" si="4"/>
        <v>#N/A</v>
      </c>
      <c r="AC56" s="60">
        <v>1</v>
      </c>
      <c r="AD56" s="51">
        <f t="shared" si="5"/>
        <v>0</v>
      </c>
      <c r="AE56" s="56">
        <f t="shared" si="6"/>
        <v>0</v>
      </c>
      <c r="AF56" s="56">
        <f t="shared" si="7"/>
        <v>0</v>
      </c>
      <c r="AG56" s="56">
        <f t="shared" si="8"/>
        <v>0</v>
      </c>
      <c r="AH56" s="89">
        <f t="shared" si="9"/>
        <v>219.39310229205779</v>
      </c>
      <c r="AI56" s="90" t="e">
        <f>VLOOKUP(Q56,Dados!$T$4:$U$19,2,FALSE)</f>
        <v>#N/A</v>
      </c>
      <c r="AJ56" s="91">
        <v>1</v>
      </c>
    </row>
    <row r="57" spans="1:36" customFormat="1">
      <c r="A57" s="52"/>
      <c r="B57" s="52"/>
      <c r="C57" s="52" t="s">
        <v>134</v>
      </c>
      <c r="D57" s="52"/>
      <c r="E57" s="53"/>
      <c r="F57" s="53"/>
      <c r="G57" s="53" t="s">
        <v>137</v>
      </c>
      <c r="H57" s="53"/>
      <c r="I57" s="54"/>
      <c r="J57" s="55">
        <f t="shared" si="0"/>
        <v>0</v>
      </c>
      <c r="K57" s="56">
        <v>0.92</v>
      </c>
      <c r="L57" s="57">
        <f t="shared" si="1"/>
        <v>0</v>
      </c>
      <c r="M57" s="57">
        <f t="shared" si="2"/>
        <v>0</v>
      </c>
      <c r="N57" s="57">
        <f t="shared" si="3"/>
        <v>0</v>
      </c>
      <c r="O57" s="56"/>
      <c r="P57" s="56" t="s">
        <v>138</v>
      </c>
      <c r="Q57" s="56" t="e">
        <f>IF(R57="PVC",VLOOKUP(O57,Dados!C$3:D$19,2),IF(R57="EPR",VLOOKUP(O57,Dados!C$22:D$38,2)))</f>
        <v>#N/A</v>
      </c>
      <c r="R57" s="56" t="s">
        <v>139</v>
      </c>
      <c r="S57" s="51">
        <f t="shared" si="10"/>
        <v>0</v>
      </c>
      <c r="T57" s="56" t="e">
        <f>IF(R57="PVC",VLOOKUP(Q57,Dados!L$3:M$18,2),IF(R57="EPR",VLOOKUP(Q57,Dados!L$3:N$18,3)))</f>
        <v>#N/A</v>
      </c>
      <c r="U57" s="143" t="s">
        <v>140</v>
      </c>
      <c r="V57" s="62"/>
      <c r="W57" s="145"/>
      <c r="X57" s="140"/>
      <c r="Y57" s="137"/>
      <c r="Z57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7" s="63"/>
      <c r="AB57" s="101" t="e">
        <f t="shared" si="4"/>
        <v>#N/A</v>
      </c>
      <c r="AC57" s="60">
        <v>1</v>
      </c>
      <c r="AD57" s="51">
        <f t="shared" si="5"/>
        <v>0</v>
      </c>
      <c r="AE57" s="56">
        <f t="shared" si="6"/>
        <v>0</v>
      </c>
      <c r="AF57" s="56">
        <f t="shared" si="7"/>
        <v>0</v>
      </c>
      <c r="AG57" s="56">
        <f t="shared" si="8"/>
        <v>0</v>
      </c>
      <c r="AH57" s="89">
        <f t="shared" si="9"/>
        <v>219.39310229205779</v>
      </c>
      <c r="AI57" s="90" t="e">
        <f>VLOOKUP(Q57,Dados!$T$4:$U$19,2,FALSE)</f>
        <v>#N/A</v>
      </c>
      <c r="AJ57" s="91">
        <v>1</v>
      </c>
    </row>
    <row r="58" spans="1:36" customFormat="1">
      <c r="A58" s="61" t="s">
        <v>134</v>
      </c>
      <c r="B58" s="52"/>
      <c r="C58" s="52"/>
      <c r="D58" s="52"/>
      <c r="E58" s="53"/>
      <c r="F58" s="53"/>
      <c r="G58" s="53" t="s">
        <v>137</v>
      </c>
      <c r="H58" s="53"/>
      <c r="I58" s="54"/>
      <c r="J58" s="55">
        <f t="shared" si="0"/>
        <v>0</v>
      </c>
      <c r="K58" s="56">
        <v>0.92</v>
      </c>
      <c r="L58" s="57">
        <f t="shared" si="1"/>
        <v>0</v>
      </c>
      <c r="M58" s="57">
        <f t="shared" si="2"/>
        <v>0</v>
      </c>
      <c r="N58" s="57">
        <f t="shared" si="3"/>
        <v>0</v>
      </c>
      <c r="O58" s="56"/>
      <c r="P58" s="56" t="s">
        <v>138</v>
      </c>
      <c r="Q58" s="56" t="e">
        <f>IF(R58="PVC",VLOOKUP(O58,Dados!C$3:D$19,2),IF(R58="EPR",VLOOKUP(O58,Dados!C$22:D$38,2)))</f>
        <v>#N/A</v>
      </c>
      <c r="R58" s="56" t="s">
        <v>139</v>
      </c>
      <c r="S58" s="51">
        <f t="shared" si="10"/>
        <v>0</v>
      </c>
      <c r="T58" s="56" t="e">
        <f>IF(R58="PVC",VLOOKUP(Q58,Dados!L$3:M$18,2),IF(R58="EPR",VLOOKUP(Q58,Dados!L$3:N$18,3)))</f>
        <v>#N/A</v>
      </c>
      <c r="U58" s="143" t="s">
        <v>140</v>
      </c>
      <c r="V58" s="62"/>
      <c r="W58" s="145"/>
      <c r="X58" s="140"/>
      <c r="Y58" s="137"/>
      <c r="Z58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8" s="63"/>
      <c r="AB58" s="101" t="e">
        <f t="shared" si="4"/>
        <v>#N/A</v>
      </c>
      <c r="AC58" s="60">
        <v>1</v>
      </c>
      <c r="AD58" s="51">
        <f t="shared" si="5"/>
        <v>0</v>
      </c>
      <c r="AE58" s="56">
        <f t="shared" si="6"/>
        <v>0</v>
      </c>
      <c r="AF58" s="56">
        <f t="shared" si="7"/>
        <v>0</v>
      </c>
      <c r="AG58" s="56">
        <f t="shared" si="8"/>
        <v>0</v>
      </c>
      <c r="AH58" s="89">
        <f t="shared" si="9"/>
        <v>219.39310229205779</v>
      </c>
      <c r="AI58" s="90" t="e">
        <f>VLOOKUP(Q58,Dados!$T$4:$U$19,2,FALSE)</f>
        <v>#N/A</v>
      </c>
      <c r="AJ58" s="91">
        <v>1</v>
      </c>
    </row>
    <row r="59" spans="1:36" customFormat="1">
      <c r="A59" s="52"/>
      <c r="B59" s="52" t="s">
        <v>134</v>
      </c>
      <c r="C59" s="52"/>
      <c r="D59" s="52"/>
      <c r="E59" s="53"/>
      <c r="F59" s="53"/>
      <c r="G59" s="53" t="s">
        <v>137</v>
      </c>
      <c r="H59" s="53"/>
      <c r="I59" s="54"/>
      <c r="J59" s="55">
        <f t="shared" si="0"/>
        <v>0</v>
      </c>
      <c r="K59" s="56">
        <v>0.92</v>
      </c>
      <c r="L59" s="57">
        <f t="shared" si="1"/>
        <v>0</v>
      </c>
      <c r="M59" s="57">
        <f t="shared" si="2"/>
        <v>0</v>
      </c>
      <c r="N59" s="57">
        <f t="shared" si="3"/>
        <v>0</v>
      </c>
      <c r="O59" s="56"/>
      <c r="P59" s="56" t="s">
        <v>138</v>
      </c>
      <c r="Q59" s="56" t="e">
        <f>IF(R59="PVC",VLOOKUP(O59,Dados!C$3:D$19,2),IF(R59="EPR",VLOOKUP(O59,Dados!C$22:D$38,2)))</f>
        <v>#N/A</v>
      </c>
      <c r="R59" s="56" t="s">
        <v>139</v>
      </c>
      <c r="S59" s="51">
        <f t="shared" si="10"/>
        <v>0</v>
      </c>
      <c r="T59" s="56" t="e">
        <f>IF(R59="PVC",VLOOKUP(Q59,Dados!L$3:M$18,2),IF(R59="EPR",VLOOKUP(Q59,Dados!L$3:N$18,3)))</f>
        <v>#N/A</v>
      </c>
      <c r="U59" s="143" t="s">
        <v>140</v>
      </c>
      <c r="V59" s="62"/>
      <c r="W59" s="145"/>
      <c r="X59" s="140"/>
      <c r="Y59" s="137"/>
      <c r="Z59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59" s="63"/>
      <c r="AB59" s="101" t="e">
        <f t="shared" si="4"/>
        <v>#N/A</v>
      </c>
      <c r="AC59" s="60">
        <v>1</v>
      </c>
      <c r="AD59" s="51">
        <f t="shared" si="5"/>
        <v>0</v>
      </c>
      <c r="AE59" s="56">
        <f t="shared" si="6"/>
        <v>0</v>
      </c>
      <c r="AF59" s="56">
        <f t="shared" si="7"/>
        <v>0</v>
      </c>
      <c r="AG59" s="56">
        <f t="shared" si="8"/>
        <v>0</v>
      </c>
      <c r="AH59" s="89">
        <f t="shared" si="9"/>
        <v>219.39310229205779</v>
      </c>
      <c r="AI59" s="90" t="e">
        <f>VLOOKUP(Q59,Dados!$T$4:$U$19,2,FALSE)</f>
        <v>#N/A</v>
      </c>
      <c r="AJ59" s="91">
        <v>1</v>
      </c>
    </row>
    <row r="60" spans="1:36" customFormat="1">
      <c r="A60" s="52"/>
      <c r="B60" s="52"/>
      <c r="C60" s="52" t="s">
        <v>134</v>
      </c>
      <c r="D60" s="52"/>
      <c r="E60" s="53"/>
      <c r="F60" s="53"/>
      <c r="G60" s="53" t="s">
        <v>137</v>
      </c>
      <c r="H60" s="53"/>
      <c r="I60" s="54"/>
      <c r="J60" s="55">
        <f t="shared" si="0"/>
        <v>0</v>
      </c>
      <c r="K60" s="56">
        <v>0.92</v>
      </c>
      <c r="L60" s="57">
        <f t="shared" si="1"/>
        <v>0</v>
      </c>
      <c r="M60" s="57">
        <f t="shared" si="2"/>
        <v>0</v>
      </c>
      <c r="N60" s="57">
        <f t="shared" si="3"/>
        <v>0</v>
      </c>
      <c r="O60" s="56"/>
      <c r="P60" s="56" t="s">
        <v>138</v>
      </c>
      <c r="Q60" s="56" t="e">
        <f>IF(R60="PVC",VLOOKUP(O60,Dados!C$3:D$19,2),IF(R60="EPR",VLOOKUP(O60,Dados!C$22:D$38,2)))</f>
        <v>#N/A</v>
      </c>
      <c r="R60" s="56" t="s">
        <v>139</v>
      </c>
      <c r="S60" s="51">
        <f t="shared" si="10"/>
        <v>0</v>
      </c>
      <c r="T60" s="56" t="e">
        <f>IF(R60="PVC",VLOOKUP(Q60,Dados!L$3:M$18,2),IF(R60="EPR",VLOOKUP(Q60,Dados!L$3:N$18,3)))</f>
        <v>#N/A</v>
      </c>
      <c r="U60" s="143" t="s">
        <v>140</v>
      </c>
      <c r="V60" s="62"/>
      <c r="W60" s="145"/>
      <c r="X60" s="140"/>
      <c r="Y60" s="137"/>
      <c r="Z60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0" s="63"/>
      <c r="AB60" s="101" t="e">
        <f t="shared" si="4"/>
        <v>#N/A</v>
      </c>
      <c r="AC60" s="60">
        <v>1</v>
      </c>
      <c r="AD60" s="51">
        <f t="shared" si="5"/>
        <v>0</v>
      </c>
      <c r="AE60" s="56">
        <f t="shared" si="6"/>
        <v>0</v>
      </c>
      <c r="AF60" s="56">
        <f t="shared" si="7"/>
        <v>0</v>
      </c>
      <c r="AG60" s="56">
        <f t="shared" si="8"/>
        <v>0</v>
      </c>
      <c r="AH60" s="89">
        <f t="shared" si="9"/>
        <v>219.39310229205779</v>
      </c>
      <c r="AI60" s="90" t="e">
        <f>VLOOKUP(Q60,Dados!$T$4:$U$19,2,FALSE)</f>
        <v>#N/A</v>
      </c>
      <c r="AJ60" s="91">
        <v>1</v>
      </c>
    </row>
    <row r="61" spans="1:36" customFormat="1">
      <c r="A61" s="52" t="s">
        <v>134</v>
      </c>
      <c r="B61" s="52"/>
      <c r="C61" s="52"/>
      <c r="D61" s="52"/>
      <c r="E61" s="53"/>
      <c r="F61" s="53"/>
      <c r="G61" s="53" t="s">
        <v>137</v>
      </c>
      <c r="H61" s="53"/>
      <c r="I61" s="54"/>
      <c r="J61" s="55">
        <f t="shared" si="0"/>
        <v>0</v>
      </c>
      <c r="K61" s="56">
        <v>0.92</v>
      </c>
      <c r="L61" s="57">
        <f t="shared" si="1"/>
        <v>0</v>
      </c>
      <c r="M61" s="57">
        <f t="shared" si="2"/>
        <v>0</v>
      </c>
      <c r="N61" s="57">
        <f t="shared" si="3"/>
        <v>0</v>
      </c>
      <c r="O61" s="56"/>
      <c r="P61" s="56" t="s">
        <v>138</v>
      </c>
      <c r="Q61" s="56" t="e">
        <f>IF(R61="PVC",VLOOKUP(O61,Dados!C$3:D$19,2),IF(R61="EPR",VLOOKUP(O61,Dados!C$22:D$38,2)))</f>
        <v>#N/A</v>
      </c>
      <c r="R61" s="56" t="s">
        <v>139</v>
      </c>
      <c r="S61" s="51">
        <f t="shared" si="10"/>
        <v>0</v>
      </c>
      <c r="T61" s="56" t="e">
        <f>IF(R61="PVC",VLOOKUP(Q61,Dados!L$3:M$18,2),IF(R61="EPR",VLOOKUP(Q61,Dados!L$3:N$18,3)))</f>
        <v>#N/A</v>
      </c>
      <c r="U61" s="143" t="s">
        <v>140</v>
      </c>
      <c r="V61" s="62"/>
      <c r="W61" s="145"/>
      <c r="X61" s="140"/>
      <c r="Y61" s="137"/>
      <c r="Z61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1" s="63"/>
      <c r="AB61" s="101" t="e">
        <f t="shared" si="4"/>
        <v>#N/A</v>
      </c>
      <c r="AC61" s="60">
        <v>1</v>
      </c>
      <c r="AD61" s="51">
        <f t="shared" si="5"/>
        <v>0</v>
      </c>
      <c r="AE61" s="56">
        <f t="shared" si="6"/>
        <v>0</v>
      </c>
      <c r="AF61" s="56">
        <f t="shared" si="7"/>
        <v>0</v>
      </c>
      <c r="AG61" s="56">
        <f t="shared" si="8"/>
        <v>0</v>
      </c>
      <c r="AH61" s="89">
        <f t="shared" si="9"/>
        <v>219.39310229205779</v>
      </c>
      <c r="AI61" s="90" t="e">
        <f>VLOOKUP(Q61,Dados!$T$4:$U$19,2,FALSE)</f>
        <v>#N/A</v>
      </c>
      <c r="AJ61" s="91">
        <v>1</v>
      </c>
    </row>
    <row r="62" spans="1:36" customFormat="1">
      <c r="A62" s="61"/>
      <c r="B62" s="52" t="s">
        <v>134</v>
      </c>
      <c r="C62" s="52"/>
      <c r="D62" s="52"/>
      <c r="E62" s="53"/>
      <c r="F62" s="53"/>
      <c r="G62" s="53" t="s">
        <v>137</v>
      </c>
      <c r="H62" s="53"/>
      <c r="I62" s="54"/>
      <c r="J62" s="55">
        <f t="shared" si="0"/>
        <v>0</v>
      </c>
      <c r="K62" s="56">
        <v>0.92</v>
      </c>
      <c r="L62" s="57">
        <f t="shared" si="1"/>
        <v>0</v>
      </c>
      <c r="M62" s="57">
        <f t="shared" si="2"/>
        <v>0</v>
      </c>
      <c r="N62" s="57">
        <f t="shared" si="3"/>
        <v>0</v>
      </c>
      <c r="O62" s="56"/>
      <c r="P62" s="56" t="s">
        <v>138</v>
      </c>
      <c r="Q62" s="56" t="e">
        <f>IF(R62="PVC",VLOOKUP(O62,Dados!C$3:D$19,2),IF(R62="EPR",VLOOKUP(O62,Dados!C$22:D$38,2)))</f>
        <v>#N/A</v>
      </c>
      <c r="R62" s="56" t="s">
        <v>139</v>
      </c>
      <c r="S62" s="51">
        <f t="shared" si="10"/>
        <v>0</v>
      </c>
      <c r="T62" s="56" t="e">
        <f>IF(R62="PVC",VLOOKUP(Q62,Dados!L$3:M$18,2),IF(R62="EPR",VLOOKUP(Q62,Dados!L$3:N$18,3)))</f>
        <v>#N/A</v>
      </c>
      <c r="U62" s="143" t="s">
        <v>140</v>
      </c>
      <c r="V62" s="62"/>
      <c r="W62" s="145"/>
      <c r="X62" s="140"/>
      <c r="Y62" s="137"/>
      <c r="Z62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2" s="63"/>
      <c r="AB62" s="101" t="e">
        <f t="shared" si="4"/>
        <v>#N/A</v>
      </c>
      <c r="AC62" s="60">
        <v>1</v>
      </c>
      <c r="AD62" s="51">
        <f t="shared" si="5"/>
        <v>0</v>
      </c>
      <c r="AE62" s="56">
        <f t="shared" si="6"/>
        <v>0</v>
      </c>
      <c r="AF62" s="56">
        <f t="shared" si="7"/>
        <v>0</v>
      </c>
      <c r="AG62" s="56">
        <f t="shared" si="8"/>
        <v>0</v>
      </c>
      <c r="AH62" s="89">
        <f t="shared" si="9"/>
        <v>219.39310229205779</v>
      </c>
      <c r="AI62" s="90" t="e">
        <f>VLOOKUP(Q62,Dados!$T$4:$U$19,2,FALSE)</f>
        <v>#N/A</v>
      </c>
      <c r="AJ62" s="91">
        <v>1</v>
      </c>
    </row>
    <row r="63" spans="1:36" customFormat="1">
      <c r="A63" s="52"/>
      <c r="B63" s="52"/>
      <c r="C63" s="52" t="s">
        <v>134</v>
      </c>
      <c r="D63" s="52"/>
      <c r="E63" s="53"/>
      <c r="F63" s="53"/>
      <c r="G63" s="53" t="s">
        <v>137</v>
      </c>
      <c r="H63" s="53"/>
      <c r="I63" s="54"/>
      <c r="J63" s="55">
        <f t="shared" si="0"/>
        <v>0</v>
      </c>
      <c r="K63" s="56">
        <v>0.92</v>
      </c>
      <c r="L63" s="57">
        <f t="shared" si="1"/>
        <v>0</v>
      </c>
      <c r="M63" s="57">
        <f t="shared" si="2"/>
        <v>0</v>
      </c>
      <c r="N63" s="57">
        <f t="shared" si="3"/>
        <v>0</v>
      </c>
      <c r="O63" s="56"/>
      <c r="P63" s="56" t="s">
        <v>138</v>
      </c>
      <c r="Q63" s="56" t="e">
        <f>IF(R63="PVC",VLOOKUP(O63,Dados!C$3:D$19,2),IF(R63="EPR",VLOOKUP(O63,Dados!C$22:D$38,2)))</f>
        <v>#N/A</v>
      </c>
      <c r="R63" s="56" t="s">
        <v>139</v>
      </c>
      <c r="S63" s="51">
        <f t="shared" si="10"/>
        <v>0</v>
      </c>
      <c r="T63" s="56" t="e">
        <f>IF(R63="PVC",VLOOKUP(Q63,Dados!L$3:M$18,2),IF(R63="EPR",VLOOKUP(Q63,Dados!L$3:N$18,3)))</f>
        <v>#N/A</v>
      </c>
      <c r="U63" s="143" t="s">
        <v>140</v>
      </c>
      <c r="V63" s="62"/>
      <c r="W63" s="145"/>
      <c r="X63" s="140"/>
      <c r="Y63" s="137"/>
      <c r="Z63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3" s="63"/>
      <c r="AB63" s="101" t="e">
        <f t="shared" si="4"/>
        <v>#N/A</v>
      </c>
      <c r="AC63" s="60">
        <v>1</v>
      </c>
      <c r="AD63" s="51">
        <f t="shared" si="5"/>
        <v>0</v>
      </c>
      <c r="AE63" s="56">
        <f t="shared" si="6"/>
        <v>0</v>
      </c>
      <c r="AF63" s="56">
        <f t="shared" si="7"/>
        <v>0</v>
      </c>
      <c r="AG63" s="56">
        <f t="shared" si="8"/>
        <v>0</v>
      </c>
      <c r="AH63" s="89">
        <f t="shared" si="9"/>
        <v>219.39310229205779</v>
      </c>
      <c r="AI63" s="90" t="e">
        <f>VLOOKUP(Q63,Dados!$T$4:$U$19,2,FALSE)</f>
        <v>#N/A</v>
      </c>
      <c r="AJ63" s="91">
        <v>1</v>
      </c>
    </row>
    <row r="64" spans="1:36" customFormat="1">
      <c r="A64" s="61" t="s">
        <v>134</v>
      </c>
      <c r="B64" s="52"/>
      <c r="C64" s="52"/>
      <c r="D64" s="52"/>
      <c r="E64" s="53"/>
      <c r="F64" s="53"/>
      <c r="G64" s="53" t="s">
        <v>137</v>
      </c>
      <c r="H64" s="53"/>
      <c r="I64" s="54"/>
      <c r="J64" s="55">
        <f t="shared" si="0"/>
        <v>0</v>
      </c>
      <c r="K64" s="56">
        <v>0.92</v>
      </c>
      <c r="L64" s="57">
        <f t="shared" si="1"/>
        <v>0</v>
      </c>
      <c r="M64" s="57">
        <f t="shared" si="2"/>
        <v>0</v>
      </c>
      <c r="N64" s="57">
        <f t="shared" si="3"/>
        <v>0</v>
      </c>
      <c r="O64" s="56"/>
      <c r="P64" s="56" t="s">
        <v>138</v>
      </c>
      <c r="Q64" s="56" t="e">
        <f>IF(R64="PVC",VLOOKUP(O64,Dados!C$3:D$19,2),IF(R64="EPR",VLOOKUP(O64,Dados!C$22:D$38,2)))</f>
        <v>#N/A</v>
      </c>
      <c r="R64" s="56" t="s">
        <v>139</v>
      </c>
      <c r="S64" s="51">
        <f t="shared" si="10"/>
        <v>0</v>
      </c>
      <c r="T64" s="56" t="e">
        <f>IF(R64="PVC",VLOOKUP(Q64,Dados!L$3:M$18,2),IF(R64="EPR",VLOOKUP(Q64,Dados!L$3:N$18,3)))</f>
        <v>#N/A</v>
      </c>
      <c r="U64" s="143" t="s">
        <v>140</v>
      </c>
      <c r="V64" s="62"/>
      <c r="W64" s="145"/>
      <c r="X64" s="140"/>
      <c r="Y64" s="137"/>
      <c r="Z64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4" s="63"/>
      <c r="AB64" s="101" t="e">
        <f t="shared" si="4"/>
        <v>#N/A</v>
      </c>
      <c r="AC64" s="60">
        <v>1</v>
      </c>
      <c r="AD64" s="51">
        <f t="shared" si="5"/>
        <v>0</v>
      </c>
      <c r="AE64" s="56">
        <f t="shared" si="6"/>
        <v>0</v>
      </c>
      <c r="AF64" s="56">
        <f t="shared" si="7"/>
        <v>0</v>
      </c>
      <c r="AG64" s="56">
        <f t="shared" si="8"/>
        <v>0</v>
      </c>
      <c r="AH64" s="89">
        <f t="shared" si="9"/>
        <v>219.39310229205779</v>
      </c>
      <c r="AI64" s="90" t="e">
        <f>VLOOKUP(Q64,Dados!$T$4:$U$19,2,FALSE)</f>
        <v>#N/A</v>
      </c>
      <c r="AJ64" s="91">
        <v>1</v>
      </c>
    </row>
    <row r="65" spans="1:36" customFormat="1">
      <c r="A65" s="52"/>
      <c r="B65" s="52" t="s">
        <v>134</v>
      </c>
      <c r="C65" s="52"/>
      <c r="D65" s="52"/>
      <c r="E65" s="53"/>
      <c r="F65" s="53"/>
      <c r="G65" s="53" t="s">
        <v>137</v>
      </c>
      <c r="H65" s="53"/>
      <c r="I65" s="54"/>
      <c r="J65" s="55">
        <f t="shared" si="0"/>
        <v>0</v>
      </c>
      <c r="K65" s="56">
        <v>0.92</v>
      </c>
      <c r="L65" s="57">
        <f t="shared" si="1"/>
        <v>0</v>
      </c>
      <c r="M65" s="57">
        <f t="shared" si="2"/>
        <v>0</v>
      </c>
      <c r="N65" s="57">
        <f t="shared" si="3"/>
        <v>0</v>
      </c>
      <c r="O65" s="56"/>
      <c r="P65" s="56" t="s">
        <v>138</v>
      </c>
      <c r="Q65" s="56" t="e">
        <f>IF(R65="PVC",VLOOKUP(O65,Dados!C$3:D$19,2),IF(R65="EPR",VLOOKUP(O65,Dados!C$22:D$38,2)))</f>
        <v>#N/A</v>
      </c>
      <c r="R65" s="56" t="s">
        <v>139</v>
      </c>
      <c r="S65" s="51">
        <f t="shared" si="10"/>
        <v>0</v>
      </c>
      <c r="T65" s="56" t="e">
        <f>IF(R65="PVC",VLOOKUP(Q65,Dados!L$3:M$18,2),IF(R65="EPR",VLOOKUP(Q65,Dados!L$3:N$18,3)))</f>
        <v>#N/A</v>
      </c>
      <c r="U65" s="143" t="s">
        <v>140</v>
      </c>
      <c r="V65" s="62"/>
      <c r="W65" s="145"/>
      <c r="X65" s="140"/>
      <c r="Y65" s="137"/>
      <c r="Z65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5" s="63"/>
      <c r="AB65" s="101" t="e">
        <f t="shared" si="4"/>
        <v>#N/A</v>
      </c>
      <c r="AC65" s="60">
        <v>1</v>
      </c>
      <c r="AD65" s="51">
        <f t="shared" si="5"/>
        <v>0</v>
      </c>
      <c r="AE65" s="56">
        <f t="shared" si="6"/>
        <v>0</v>
      </c>
      <c r="AF65" s="56">
        <f t="shared" si="7"/>
        <v>0</v>
      </c>
      <c r="AG65" s="56">
        <f t="shared" si="8"/>
        <v>0</v>
      </c>
      <c r="AH65" s="89">
        <f t="shared" si="9"/>
        <v>219.39310229205779</v>
      </c>
      <c r="AI65" s="90" t="e">
        <f>VLOOKUP(Q65,Dados!$T$4:$U$19,2,FALSE)</f>
        <v>#N/A</v>
      </c>
      <c r="AJ65" s="91">
        <v>1</v>
      </c>
    </row>
    <row r="66" spans="1:36" customFormat="1">
      <c r="A66" s="52"/>
      <c r="B66" s="52"/>
      <c r="C66" s="52" t="s">
        <v>134</v>
      </c>
      <c r="D66" s="52"/>
      <c r="E66" s="53"/>
      <c r="F66" s="53"/>
      <c r="G66" s="53" t="s">
        <v>137</v>
      </c>
      <c r="H66" s="53"/>
      <c r="I66" s="54"/>
      <c r="J66" s="55">
        <f t="shared" si="0"/>
        <v>0</v>
      </c>
      <c r="K66" s="56">
        <v>0.92</v>
      </c>
      <c r="L66" s="57">
        <f t="shared" si="1"/>
        <v>0</v>
      </c>
      <c r="M66" s="57">
        <f t="shared" si="2"/>
        <v>0</v>
      </c>
      <c r="N66" s="57">
        <f t="shared" si="3"/>
        <v>0</v>
      </c>
      <c r="O66" s="56"/>
      <c r="P66" s="56" t="s">
        <v>138</v>
      </c>
      <c r="Q66" s="56" t="e">
        <f>IF(R66="PVC",VLOOKUP(O66,Dados!C$3:D$19,2),IF(R66="EPR",VLOOKUP(O66,Dados!C$22:D$38,2)))</f>
        <v>#N/A</v>
      </c>
      <c r="R66" s="56" t="s">
        <v>139</v>
      </c>
      <c r="S66" s="51">
        <f t="shared" si="10"/>
        <v>0</v>
      </c>
      <c r="T66" s="56" t="e">
        <f>IF(R66="PVC",VLOOKUP(Q66,Dados!L$3:M$18,2),IF(R66="EPR",VLOOKUP(Q66,Dados!L$3:N$18,3)))</f>
        <v>#N/A</v>
      </c>
      <c r="U66" s="143" t="s">
        <v>140</v>
      </c>
      <c r="V66" s="62"/>
      <c r="W66" s="145"/>
      <c r="X66" s="140"/>
      <c r="Y66" s="137"/>
      <c r="Z66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6" s="63"/>
      <c r="AB66" s="101" t="e">
        <f t="shared" si="4"/>
        <v>#N/A</v>
      </c>
      <c r="AC66" s="60">
        <v>1</v>
      </c>
      <c r="AD66" s="51">
        <f t="shared" si="5"/>
        <v>0</v>
      </c>
      <c r="AE66" s="56">
        <f t="shared" si="6"/>
        <v>0</v>
      </c>
      <c r="AF66" s="56">
        <f t="shared" si="7"/>
        <v>0</v>
      </c>
      <c r="AG66" s="56">
        <f t="shared" si="8"/>
        <v>0</v>
      </c>
      <c r="AH66" s="89">
        <f t="shared" si="9"/>
        <v>219.39310229205779</v>
      </c>
      <c r="AI66" s="90" t="e">
        <f>VLOOKUP(Q66,Dados!$T$4:$U$19,2,FALSE)</f>
        <v>#N/A</v>
      </c>
      <c r="AJ66" s="91">
        <v>1</v>
      </c>
    </row>
    <row r="67" spans="1:36" customFormat="1">
      <c r="A67" s="52" t="s">
        <v>134</v>
      </c>
      <c r="B67" s="52"/>
      <c r="C67" s="52"/>
      <c r="D67" s="52"/>
      <c r="E67" s="53"/>
      <c r="F67" s="53"/>
      <c r="G67" s="53" t="s">
        <v>137</v>
      </c>
      <c r="H67" s="53"/>
      <c r="I67" s="54"/>
      <c r="J67" s="55">
        <f t="shared" si="0"/>
        <v>0</v>
      </c>
      <c r="K67" s="56">
        <v>0.92</v>
      </c>
      <c r="L67" s="57">
        <f t="shared" si="1"/>
        <v>0</v>
      </c>
      <c r="M67" s="57">
        <f t="shared" si="2"/>
        <v>0</v>
      </c>
      <c r="N67" s="57">
        <f t="shared" si="3"/>
        <v>0</v>
      </c>
      <c r="O67" s="56"/>
      <c r="P67" s="56" t="s">
        <v>138</v>
      </c>
      <c r="Q67" s="56" t="e">
        <f>IF(R67="PVC",VLOOKUP(O67,Dados!C$3:D$19,2),IF(R67="EPR",VLOOKUP(O67,Dados!C$22:D$38,2)))</f>
        <v>#N/A</v>
      </c>
      <c r="R67" s="56" t="s">
        <v>139</v>
      </c>
      <c r="S67" s="51">
        <f t="shared" si="10"/>
        <v>0</v>
      </c>
      <c r="T67" s="56" t="e">
        <f>IF(R67="PVC",VLOOKUP(Q67,Dados!L$3:M$18,2),IF(R67="EPR",VLOOKUP(Q67,Dados!L$3:N$18,3)))</f>
        <v>#N/A</v>
      </c>
      <c r="U67" s="143" t="s">
        <v>140</v>
      </c>
      <c r="V67" s="62"/>
      <c r="W67" s="145"/>
      <c r="X67" s="140"/>
      <c r="Y67" s="137"/>
      <c r="Z67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7" s="63"/>
      <c r="AB67" s="101" t="e">
        <f t="shared" si="4"/>
        <v>#N/A</v>
      </c>
      <c r="AC67" s="60">
        <v>1</v>
      </c>
      <c r="AD67" s="51">
        <f t="shared" si="5"/>
        <v>0</v>
      </c>
      <c r="AE67" s="56">
        <f t="shared" si="6"/>
        <v>0</v>
      </c>
      <c r="AF67" s="56">
        <f t="shared" si="7"/>
        <v>0</v>
      </c>
      <c r="AG67" s="56">
        <f t="shared" si="8"/>
        <v>0</v>
      </c>
      <c r="AH67" s="89">
        <f t="shared" si="9"/>
        <v>219.39310229205779</v>
      </c>
      <c r="AI67" s="90" t="e">
        <f>VLOOKUP(Q67,Dados!$T$4:$U$19,2,FALSE)</f>
        <v>#N/A</v>
      </c>
      <c r="AJ67" s="91">
        <v>1</v>
      </c>
    </row>
    <row r="68" spans="1:36" customFormat="1">
      <c r="A68" s="61"/>
      <c r="B68" s="52" t="s">
        <v>134</v>
      </c>
      <c r="C68" s="52"/>
      <c r="D68" s="52"/>
      <c r="E68" s="53"/>
      <c r="F68" s="53"/>
      <c r="G68" s="53" t="s">
        <v>137</v>
      </c>
      <c r="H68" s="53"/>
      <c r="I68" s="54"/>
      <c r="J68" s="55">
        <f t="shared" si="0"/>
        <v>0</v>
      </c>
      <c r="K68" s="56">
        <v>0.92</v>
      </c>
      <c r="L68" s="57">
        <f t="shared" si="1"/>
        <v>0</v>
      </c>
      <c r="M68" s="57">
        <f t="shared" si="2"/>
        <v>0</v>
      </c>
      <c r="N68" s="57">
        <f t="shared" si="3"/>
        <v>0</v>
      </c>
      <c r="O68" s="56"/>
      <c r="P68" s="56" t="s">
        <v>138</v>
      </c>
      <c r="Q68" s="56" t="e">
        <f>IF(R68="PVC",VLOOKUP(O68,Dados!C$3:D$19,2),IF(R68="EPR",VLOOKUP(O68,Dados!C$22:D$38,2)))</f>
        <v>#N/A</v>
      </c>
      <c r="R68" s="56" t="s">
        <v>139</v>
      </c>
      <c r="S68" s="51">
        <f t="shared" si="10"/>
        <v>0</v>
      </c>
      <c r="T68" s="56" t="e">
        <f>IF(R68="PVC",VLOOKUP(Q68,Dados!L$3:M$18,2),IF(R68="EPR",VLOOKUP(Q68,Dados!L$3:N$18,3)))</f>
        <v>#N/A</v>
      </c>
      <c r="U68" s="143" t="s">
        <v>140</v>
      </c>
      <c r="V68" s="62"/>
      <c r="W68" s="145"/>
      <c r="X68" s="140"/>
      <c r="Y68" s="137"/>
      <c r="Z68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8" s="63"/>
      <c r="AB68" s="101" t="e">
        <f t="shared" si="4"/>
        <v>#N/A</v>
      </c>
      <c r="AC68" s="60">
        <v>1</v>
      </c>
      <c r="AD68" s="51">
        <f t="shared" si="5"/>
        <v>0</v>
      </c>
      <c r="AE68" s="56">
        <f t="shared" si="6"/>
        <v>0</v>
      </c>
      <c r="AF68" s="56">
        <f t="shared" si="7"/>
        <v>0</v>
      </c>
      <c r="AG68" s="56">
        <f t="shared" si="8"/>
        <v>0</v>
      </c>
      <c r="AH68" s="89">
        <f t="shared" si="9"/>
        <v>219.39310229205779</v>
      </c>
      <c r="AI68" s="90" t="e">
        <f>VLOOKUP(Q68,Dados!$T$4:$U$19,2,FALSE)</f>
        <v>#N/A</v>
      </c>
      <c r="AJ68" s="91">
        <v>1</v>
      </c>
    </row>
    <row r="69" spans="1:36" customFormat="1">
      <c r="A69" s="52"/>
      <c r="B69" s="52"/>
      <c r="C69" s="52" t="s">
        <v>134</v>
      </c>
      <c r="D69" s="52"/>
      <c r="E69" s="53"/>
      <c r="F69" s="53"/>
      <c r="G69" s="53" t="s">
        <v>137</v>
      </c>
      <c r="H69" s="53"/>
      <c r="I69" s="54"/>
      <c r="J69" s="55">
        <f t="shared" si="0"/>
        <v>0</v>
      </c>
      <c r="K69" s="56">
        <v>0.92</v>
      </c>
      <c r="L69" s="57">
        <f t="shared" si="1"/>
        <v>0</v>
      </c>
      <c r="M69" s="57">
        <f t="shared" si="2"/>
        <v>0</v>
      </c>
      <c r="N69" s="57">
        <f t="shared" si="3"/>
        <v>0</v>
      </c>
      <c r="O69" s="56"/>
      <c r="P69" s="56" t="s">
        <v>138</v>
      </c>
      <c r="Q69" s="56" t="e">
        <f>IF(R69="PVC",VLOOKUP(O69,Dados!C$3:D$19,2),IF(R69="EPR",VLOOKUP(O69,Dados!C$22:D$38,2)))</f>
        <v>#N/A</v>
      </c>
      <c r="R69" s="56" t="s">
        <v>139</v>
      </c>
      <c r="S69" s="51">
        <f t="shared" si="10"/>
        <v>0</v>
      </c>
      <c r="T69" s="56" t="e">
        <f>IF(R69="PVC",VLOOKUP(Q69,Dados!L$3:M$18,2),IF(R69="EPR",VLOOKUP(Q69,Dados!L$3:N$18,3)))</f>
        <v>#N/A</v>
      </c>
      <c r="U69" s="143" t="s">
        <v>140</v>
      </c>
      <c r="V69" s="62"/>
      <c r="W69" s="145"/>
      <c r="X69" s="140"/>
      <c r="Y69" s="137"/>
      <c r="Z69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69" s="63"/>
      <c r="AB69" s="101" t="e">
        <f t="shared" si="4"/>
        <v>#N/A</v>
      </c>
      <c r="AC69" s="60">
        <v>1</v>
      </c>
      <c r="AD69" s="51">
        <f t="shared" si="5"/>
        <v>0</v>
      </c>
      <c r="AE69" s="56">
        <f t="shared" si="6"/>
        <v>0</v>
      </c>
      <c r="AF69" s="56">
        <f t="shared" si="7"/>
        <v>0</v>
      </c>
      <c r="AG69" s="56">
        <f t="shared" si="8"/>
        <v>0</v>
      </c>
      <c r="AH69" s="89">
        <f t="shared" si="9"/>
        <v>219.39310229205779</v>
      </c>
      <c r="AI69" s="90" t="e">
        <f>VLOOKUP(Q69,Dados!$T$4:$U$19,2,FALSE)</f>
        <v>#N/A</v>
      </c>
      <c r="AJ69" s="91">
        <v>1</v>
      </c>
    </row>
    <row r="70" spans="1:36" customFormat="1">
      <c r="A70" s="61" t="s">
        <v>134</v>
      </c>
      <c r="B70" s="52"/>
      <c r="C70" s="52"/>
      <c r="D70" s="52"/>
      <c r="E70" s="53"/>
      <c r="F70" s="53"/>
      <c r="G70" s="53" t="s">
        <v>137</v>
      </c>
      <c r="H70" s="53"/>
      <c r="I70" s="54"/>
      <c r="J70" s="55">
        <f t="shared" si="0"/>
        <v>0</v>
      </c>
      <c r="K70" s="56">
        <v>0.92</v>
      </c>
      <c r="L70" s="57">
        <f t="shared" si="1"/>
        <v>0</v>
      </c>
      <c r="M70" s="57">
        <f t="shared" si="2"/>
        <v>0</v>
      </c>
      <c r="N70" s="57">
        <f t="shared" si="3"/>
        <v>0</v>
      </c>
      <c r="O70" s="56"/>
      <c r="P70" s="56" t="s">
        <v>138</v>
      </c>
      <c r="Q70" s="56" t="e">
        <f>IF(R70="PVC",VLOOKUP(O70,Dados!C$3:D$19,2),IF(R70="EPR",VLOOKUP(O70,Dados!C$22:D$38,2)))</f>
        <v>#N/A</v>
      </c>
      <c r="R70" s="56" t="s">
        <v>139</v>
      </c>
      <c r="S70" s="51">
        <f t="shared" si="10"/>
        <v>0</v>
      </c>
      <c r="T70" s="56" t="e">
        <f>IF(R70="PVC",VLOOKUP(Q70,Dados!L$3:M$18,2),IF(R70="EPR",VLOOKUP(Q70,Dados!L$3:N$18,3)))</f>
        <v>#N/A</v>
      </c>
      <c r="U70" s="143" t="s">
        <v>140</v>
      </c>
      <c r="V70" s="62"/>
      <c r="W70" s="145"/>
      <c r="X70" s="140"/>
      <c r="Y70" s="137"/>
      <c r="Z70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0" s="63"/>
      <c r="AB70" s="101" t="e">
        <f t="shared" si="4"/>
        <v>#N/A</v>
      </c>
      <c r="AC70" s="60">
        <v>1</v>
      </c>
      <c r="AD70" s="51">
        <f t="shared" si="5"/>
        <v>0</v>
      </c>
      <c r="AE70" s="56">
        <f t="shared" si="6"/>
        <v>0</v>
      </c>
      <c r="AF70" s="56">
        <f t="shared" si="7"/>
        <v>0</v>
      </c>
      <c r="AG70" s="56">
        <f t="shared" si="8"/>
        <v>0</v>
      </c>
      <c r="AH70" s="89">
        <f t="shared" si="9"/>
        <v>219.39310229205779</v>
      </c>
      <c r="AI70" s="90" t="e">
        <f>VLOOKUP(Q70,Dados!$T$4:$U$19,2,FALSE)</f>
        <v>#N/A</v>
      </c>
      <c r="AJ70" s="91">
        <v>1</v>
      </c>
    </row>
    <row r="71" spans="1:36" customFormat="1">
      <c r="A71" s="52"/>
      <c r="B71" s="52" t="s">
        <v>134</v>
      </c>
      <c r="C71" s="52"/>
      <c r="D71" s="52"/>
      <c r="E71" s="53"/>
      <c r="F71" s="53"/>
      <c r="G71" s="53" t="s">
        <v>137</v>
      </c>
      <c r="H71" s="53"/>
      <c r="I71" s="54"/>
      <c r="J71" s="55">
        <f t="shared" si="0"/>
        <v>0</v>
      </c>
      <c r="K71" s="56">
        <v>0.92</v>
      </c>
      <c r="L71" s="57">
        <f t="shared" si="1"/>
        <v>0</v>
      </c>
      <c r="M71" s="57">
        <f t="shared" si="2"/>
        <v>0</v>
      </c>
      <c r="N71" s="57">
        <f t="shared" si="3"/>
        <v>0</v>
      </c>
      <c r="O71" s="56"/>
      <c r="P71" s="56" t="s">
        <v>138</v>
      </c>
      <c r="Q71" s="56" t="e">
        <f>IF(R71="PVC",VLOOKUP(O71,Dados!C$3:D$19,2),IF(R71="EPR",VLOOKUP(O71,Dados!C$22:D$38,2)))</f>
        <v>#N/A</v>
      </c>
      <c r="R71" s="56" t="s">
        <v>139</v>
      </c>
      <c r="S71" s="51">
        <f t="shared" si="10"/>
        <v>0</v>
      </c>
      <c r="T71" s="56" t="e">
        <f>IF(R71="PVC",VLOOKUP(Q71,Dados!L$3:M$18,2),IF(R71="EPR",VLOOKUP(Q71,Dados!L$3:N$18,3)))</f>
        <v>#N/A</v>
      </c>
      <c r="U71" s="143" t="s">
        <v>140</v>
      </c>
      <c r="V71" s="62"/>
      <c r="W71" s="145"/>
      <c r="X71" s="140"/>
      <c r="Y71" s="137"/>
      <c r="Z71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1" s="63"/>
      <c r="AB71" s="101" t="e">
        <f t="shared" si="4"/>
        <v>#N/A</v>
      </c>
      <c r="AC71" s="60">
        <v>1</v>
      </c>
      <c r="AD71" s="51">
        <f t="shared" si="5"/>
        <v>0</v>
      </c>
      <c r="AE71" s="56">
        <f t="shared" si="6"/>
        <v>0</v>
      </c>
      <c r="AF71" s="56">
        <f t="shared" si="7"/>
        <v>0</v>
      </c>
      <c r="AG71" s="56">
        <f t="shared" si="8"/>
        <v>0</v>
      </c>
      <c r="AH71" s="89">
        <f t="shared" si="9"/>
        <v>219.39310229205779</v>
      </c>
      <c r="AI71" s="90" t="e">
        <f>VLOOKUP(Q71,Dados!$T$4:$U$19,2,FALSE)</f>
        <v>#N/A</v>
      </c>
      <c r="AJ71" s="91">
        <v>1</v>
      </c>
    </row>
    <row r="72" spans="1:36" customFormat="1">
      <c r="A72" s="52"/>
      <c r="B72" s="52"/>
      <c r="C72" s="52" t="s">
        <v>134</v>
      </c>
      <c r="D72" s="52"/>
      <c r="E72" s="53"/>
      <c r="F72" s="53"/>
      <c r="G72" s="53" t="s">
        <v>137</v>
      </c>
      <c r="H72" s="53"/>
      <c r="I72" s="54"/>
      <c r="J72" s="55">
        <f t="shared" si="0"/>
        <v>0</v>
      </c>
      <c r="K72" s="56">
        <v>0.92</v>
      </c>
      <c r="L72" s="57">
        <f t="shared" si="1"/>
        <v>0</v>
      </c>
      <c r="M72" s="57">
        <f t="shared" si="2"/>
        <v>0</v>
      </c>
      <c r="N72" s="57">
        <f t="shared" si="3"/>
        <v>0</v>
      </c>
      <c r="O72" s="56"/>
      <c r="P72" s="56" t="s">
        <v>138</v>
      </c>
      <c r="Q72" s="56" t="e">
        <f>IF(R72="PVC",VLOOKUP(O72,Dados!C$3:D$19,2),IF(R72="EPR",VLOOKUP(O72,Dados!C$22:D$38,2)))</f>
        <v>#N/A</v>
      </c>
      <c r="R72" s="56" t="s">
        <v>139</v>
      </c>
      <c r="S72" s="51">
        <f t="shared" si="10"/>
        <v>0</v>
      </c>
      <c r="T72" s="56" t="e">
        <f>IF(R72="PVC",VLOOKUP(Q72,Dados!L$3:M$18,2),IF(R72="EPR",VLOOKUP(Q72,Dados!L$3:N$18,3)))</f>
        <v>#N/A</v>
      </c>
      <c r="U72" s="143" t="s">
        <v>140</v>
      </c>
      <c r="V72" s="62"/>
      <c r="W72" s="145"/>
      <c r="X72" s="140"/>
      <c r="Y72" s="137"/>
      <c r="Z72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2" s="63"/>
      <c r="AB72" s="101" t="e">
        <f t="shared" si="4"/>
        <v>#N/A</v>
      </c>
      <c r="AC72" s="60">
        <v>1</v>
      </c>
      <c r="AD72" s="51">
        <f t="shared" si="5"/>
        <v>0</v>
      </c>
      <c r="AE72" s="56">
        <f t="shared" si="6"/>
        <v>0</v>
      </c>
      <c r="AF72" s="56">
        <f t="shared" si="7"/>
        <v>0</v>
      </c>
      <c r="AG72" s="56">
        <f t="shared" si="8"/>
        <v>0</v>
      </c>
      <c r="AH72" s="89">
        <f t="shared" si="9"/>
        <v>219.39310229205779</v>
      </c>
      <c r="AI72" s="90" t="e">
        <f>VLOOKUP(Q72,Dados!$T$4:$U$19,2,FALSE)</f>
        <v>#N/A</v>
      </c>
      <c r="AJ72" s="91">
        <v>1</v>
      </c>
    </row>
    <row r="73" spans="1:36" customFormat="1">
      <c r="A73" s="52" t="s">
        <v>134</v>
      </c>
      <c r="B73" s="52"/>
      <c r="C73" s="52"/>
      <c r="D73" s="52"/>
      <c r="E73" s="53"/>
      <c r="F73" s="53"/>
      <c r="G73" s="53" t="s">
        <v>137</v>
      </c>
      <c r="H73" s="53"/>
      <c r="I73" s="54"/>
      <c r="J73" s="55">
        <f t="shared" si="0"/>
        <v>0</v>
      </c>
      <c r="K73" s="56">
        <v>0.92</v>
      </c>
      <c r="L73" s="57">
        <f t="shared" si="1"/>
        <v>0</v>
      </c>
      <c r="M73" s="57">
        <f t="shared" si="2"/>
        <v>0</v>
      </c>
      <c r="N73" s="57">
        <f t="shared" si="3"/>
        <v>0</v>
      </c>
      <c r="O73" s="56"/>
      <c r="P73" s="56" t="s">
        <v>138</v>
      </c>
      <c r="Q73" s="56" t="e">
        <f>IF(R73="PVC",VLOOKUP(O73,Dados!C$3:D$19,2),IF(R73="EPR",VLOOKUP(O73,Dados!C$22:D$38,2)))</f>
        <v>#N/A</v>
      </c>
      <c r="R73" s="56" t="s">
        <v>139</v>
      </c>
      <c r="S73" s="51">
        <f t="shared" si="10"/>
        <v>0</v>
      </c>
      <c r="T73" s="56" t="e">
        <f>IF(R73="PVC",VLOOKUP(Q73,Dados!L$3:M$18,2),IF(R73="EPR",VLOOKUP(Q73,Dados!L$3:N$18,3)))</f>
        <v>#N/A</v>
      </c>
      <c r="U73" s="143" t="s">
        <v>140</v>
      </c>
      <c r="V73" s="62"/>
      <c r="W73" s="145"/>
      <c r="X73" s="140"/>
      <c r="Y73" s="137"/>
      <c r="Z73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3" s="63"/>
      <c r="AB73" s="101" t="e">
        <f t="shared" si="4"/>
        <v>#N/A</v>
      </c>
      <c r="AC73" s="60">
        <v>1</v>
      </c>
      <c r="AD73" s="51">
        <f t="shared" si="5"/>
        <v>0</v>
      </c>
      <c r="AE73" s="56">
        <f t="shared" si="6"/>
        <v>0</v>
      </c>
      <c r="AF73" s="56">
        <f t="shared" si="7"/>
        <v>0</v>
      </c>
      <c r="AG73" s="56">
        <f t="shared" si="8"/>
        <v>0</v>
      </c>
      <c r="AH73" s="89">
        <f t="shared" si="9"/>
        <v>219.39310229205779</v>
      </c>
      <c r="AI73" s="90" t="e">
        <f>VLOOKUP(Q73,Dados!$T$4:$U$19,2,FALSE)</f>
        <v>#N/A</v>
      </c>
      <c r="AJ73" s="91">
        <v>1</v>
      </c>
    </row>
    <row r="74" spans="1:36" customFormat="1">
      <c r="A74" s="61"/>
      <c r="B74" s="52" t="s">
        <v>134</v>
      </c>
      <c r="C74" s="52"/>
      <c r="D74" s="52"/>
      <c r="E74" s="53"/>
      <c r="F74" s="53"/>
      <c r="G74" s="53" t="s">
        <v>137</v>
      </c>
      <c r="H74" s="53"/>
      <c r="I74" s="54"/>
      <c r="J74" s="55">
        <f t="shared" si="0"/>
        <v>0</v>
      </c>
      <c r="K74" s="56">
        <v>0.92</v>
      </c>
      <c r="L74" s="57">
        <f t="shared" si="1"/>
        <v>0</v>
      </c>
      <c r="M74" s="57">
        <f t="shared" si="2"/>
        <v>0</v>
      </c>
      <c r="N74" s="57">
        <f t="shared" si="3"/>
        <v>0</v>
      </c>
      <c r="O74" s="56"/>
      <c r="P74" s="56" t="s">
        <v>138</v>
      </c>
      <c r="Q74" s="56" t="e">
        <f>IF(R74="PVC",VLOOKUP(O74,Dados!C$3:D$19,2),IF(R74="EPR",VLOOKUP(O74,Dados!C$22:D$38,2)))</f>
        <v>#N/A</v>
      </c>
      <c r="R74" s="56" t="s">
        <v>139</v>
      </c>
      <c r="S74" s="51">
        <f t="shared" si="10"/>
        <v>0</v>
      </c>
      <c r="T74" s="56" t="e">
        <f>IF(R74="PVC",VLOOKUP(Q74,Dados!L$3:M$18,2),IF(R74="EPR",VLOOKUP(Q74,Dados!L$3:N$18,3)))</f>
        <v>#N/A</v>
      </c>
      <c r="U74" s="143" t="s">
        <v>140</v>
      </c>
      <c r="V74" s="62"/>
      <c r="W74" s="145"/>
      <c r="X74" s="140"/>
      <c r="Y74" s="137"/>
      <c r="Z74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4" s="63"/>
      <c r="AB74" s="101" t="e">
        <f t="shared" si="4"/>
        <v>#N/A</v>
      </c>
      <c r="AC74" s="60">
        <v>1</v>
      </c>
      <c r="AD74" s="51">
        <f t="shared" si="5"/>
        <v>0</v>
      </c>
      <c r="AE74" s="56">
        <f t="shared" si="6"/>
        <v>0</v>
      </c>
      <c r="AF74" s="56">
        <f t="shared" si="7"/>
        <v>0</v>
      </c>
      <c r="AG74" s="56">
        <f t="shared" si="8"/>
        <v>0</v>
      </c>
      <c r="AH74" s="89">
        <f t="shared" si="9"/>
        <v>219.39310229205779</v>
      </c>
      <c r="AI74" s="90" t="e">
        <f>VLOOKUP(Q74,Dados!$T$4:$U$19,2,FALSE)</f>
        <v>#N/A</v>
      </c>
      <c r="AJ74" s="91">
        <v>1</v>
      </c>
    </row>
    <row r="75" spans="1:36" customFormat="1">
      <c r="A75" s="52"/>
      <c r="B75" s="52"/>
      <c r="C75" s="52" t="s">
        <v>134</v>
      </c>
      <c r="D75" s="52"/>
      <c r="E75" s="53"/>
      <c r="F75" s="53"/>
      <c r="G75" s="53" t="s">
        <v>137</v>
      </c>
      <c r="H75" s="53"/>
      <c r="I75" s="54"/>
      <c r="J75" s="55">
        <f t="shared" si="0"/>
        <v>0</v>
      </c>
      <c r="K75" s="56">
        <v>0.92</v>
      </c>
      <c r="L75" s="57">
        <f t="shared" si="1"/>
        <v>0</v>
      </c>
      <c r="M75" s="57">
        <f t="shared" si="2"/>
        <v>0</v>
      </c>
      <c r="N75" s="57">
        <f t="shared" si="3"/>
        <v>0</v>
      </c>
      <c r="O75" s="56"/>
      <c r="P75" s="56" t="s">
        <v>138</v>
      </c>
      <c r="Q75" s="56" t="e">
        <f>IF(R75="PVC",VLOOKUP(O75,Dados!C$3:D$19,2),IF(R75="EPR",VLOOKUP(O75,Dados!C$22:D$38,2)))</f>
        <v>#N/A</v>
      </c>
      <c r="R75" s="56" t="s">
        <v>139</v>
      </c>
      <c r="S75" s="51">
        <f t="shared" si="10"/>
        <v>0</v>
      </c>
      <c r="T75" s="56" t="e">
        <f>IF(R75="PVC",VLOOKUP(Q75,Dados!L$3:M$18,2),IF(R75="EPR",VLOOKUP(Q75,Dados!L$3:N$18,3)))</f>
        <v>#N/A</v>
      </c>
      <c r="U75" s="143" t="s">
        <v>140</v>
      </c>
      <c r="V75" s="62"/>
      <c r="W75" s="145"/>
      <c r="X75" s="140"/>
      <c r="Y75" s="137"/>
      <c r="Z75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5" s="63"/>
      <c r="AB75" s="101" t="e">
        <f t="shared" si="4"/>
        <v>#N/A</v>
      </c>
      <c r="AC75" s="60">
        <v>1</v>
      </c>
      <c r="AD75" s="51">
        <f t="shared" si="5"/>
        <v>0</v>
      </c>
      <c r="AE75" s="56">
        <f t="shared" si="6"/>
        <v>0</v>
      </c>
      <c r="AF75" s="56">
        <f t="shared" si="7"/>
        <v>0</v>
      </c>
      <c r="AG75" s="56">
        <f t="shared" si="8"/>
        <v>0</v>
      </c>
      <c r="AH75" s="89">
        <f t="shared" si="9"/>
        <v>219.39310229205779</v>
      </c>
      <c r="AI75" s="90" t="e">
        <f>VLOOKUP(Q75,Dados!$T$4:$U$19,2,FALSE)</f>
        <v>#N/A</v>
      </c>
      <c r="AJ75" s="91">
        <v>1</v>
      </c>
    </row>
    <row r="76" spans="1:36" customFormat="1">
      <c r="A76" s="61" t="s">
        <v>134</v>
      </c>
      <c r="B76" s="52"/>
      <c r="C76" s="52"/>
      <c r="D76" s="52"/>
      <c r="E76" s="53"/>
      <c r="F76" s="53"/>
      <c r="G76" s="53" t="s">
        <v>137</v>
      </c>
      <c r="H76" s="53"/>
      <c r="I76" s="54"/>
      <c r="J76" s="55">
        <f t="shared" si="0"/>
        <v>0</v>
      </c>
      <c r="K76" s="56">
        <v>0.92</v>
      </c>
      <c r="L76" s="57">
        <f t="shared" si="1"/>
        <v>0</v>
      </c>
      <c r="M76" s="57">
        <f t="shared" si="2"/>
        <v>0</v>
      </c>
      <c r="N76" s="57">
        <f t="shared" si="3"/>
        <v>0</v>
      </c>
      <c r="O76" s="56"/>
      <c r="P76" s="56" t="s">
        <v>138</v>
      </c>
      <c r="Q76" s="56" t="e">
        <f>IF(R76="PVC",VLOOKUP(O76,Dados!C$3:D$19,2),IF(R76="EPR",VLOOKUP(O76,Dados!C$22:D$38,2)))</f>
        <v>#N/A</v>
      </c>
      <c r="R76" s="56" t="s">
        <v>139</v>
      </c>
      <c r="S76" s="51">
        <f t="shared" si="10"/>
        <v>0</v>
      </c>
      <c r="T76" s="56" t="e">
        <f>IF(R76="PVC",VLOOKUP(Q76,Dados!L$3:M$18,2),IF(R76="EPR",VLOOKUP(Q76,Dados!L$3:N$18,3)))</f>
        <v>#N/A</v>
      </c>
      <c r="U76" s="143" t="s">
        <v>140</v>
      </c>
      <c r="V76" s="62"/>
      <c r="W76" s="145"/>
      <c r="X76" s="140"/>
      <c r="Y76" s="137"/>
      <c r="Z76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6" s="63"/>
      <c r="AB76" s="101" t="e">
        <f t="shared" si="4"/>
        <v>#N/A</v>
      </c>
      <c r="AC76" s="60">
        <v>1</v>
      </c>
      <c r="AD76" s="51">
        <f t="shared" si="5"/>
        <v>0</v>
      </c>
      <c r="AE76" s="56">
        <f t="shared" si="6"/>
        <v>0</v>
      </c>
      <c r="AF76" s="56">
        <f t="shared" si="7"/>
        <v>0</v>
      </c>
      <c r="AG76" s="56">
        <f t="shared" si="8"/>
        <v>0</v>
      </c>
      <c r="AH76" s="89">
        <f t="shared" si="9"/>
        <v>219.39310229205779</v>
      </c>
      <c r="AI76" s="90" t="e">
        <f>VLOOKUP(Q76,Dados!$T$4:$U$19,2,FALSE)</f>
        <v>#N/A</v>
      </c>
      <c r="AJ76" s="91">
        <v>1</v>
      </c>
    </row>
    <row r="77" spans="1:36" customFormat="1">
      <c r="A77" s="52"/>
      <c r="B77" s="52" t="s">
        <v>134</v>
      </c>
      <c r="C77" s="52"/>
      <c r="D77" s="52"/>
      <c r="E77" s="53"/>
      <c r="F77" s="53"/>
      <c r="G77" s="53" t="s">
        <v>137</v>
      </c>
      <c r="H77" s="53"/>
      <c r="I77" s="54"/>
      <c r="J77" s="55">
        <f t="shared" si="0"/>
        <v>0</v>
      </c>
      <c r="K77" s="56">
        <v>0.92</v>
      </c>
      <c r="L77" s="57">
        <f t="shared" si="1"/>
        <v>0</v>
      </c>
      <c r="M77" s="57">
        <f t="shared" si="2"/>
        <v>0</v>
      </c>
      <c r="N77" s="57">
        <f t="shared" si="3"/>
        <v>0</v>
      </c>
      <c r="O77" s="56"/>
      <c r="P77" s="56" t="s">
        <v>138</v>
      </c>
      <c r="Q77" s="56" t="e">
        <f>IF(R77="PVC",VLOOKUP(O77,Dados!C$3:D$19,2),IF(R77="EPR",VLOOKUP(O77,Dados!C$22:D$38,2)))</f>
        <v>#N/A</v>
      </c>
      <c r="R77" s="56" t="s">
        <v>139</v>
      </c>
      <c r="S77" s="51">
        <f t="shared" si="10"/>
        <v>0</v>
      </c>
      <c r="T77" s="56" t="e">
        <f>IF(R77="PVC",VLOOKUP(Q77,Dados!L$3:M$18,2),IF(R77="EPR",VLOOKUP(Q77,Dados!L$3:N$18,3)))</f>
        <v>#N/A</v>
      </c>
      <c r="U77" s="143" t="s">
        <v>140</v>
      </c>
      <c r="V77" s="62"/>
      <c r="W77" s="145"/>
      <c r="X77" s="149"/>
      <c r="Y77" s="150"/>
      <c r="Z77" s="141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7" s="63"/>
      <c r="AB77" s="101" t="e">
        <f t="shared" si="4"/>
        <v>#N/A</v>
      </c>
      <c r="AC77" s="60">
        <v>1</v>
      </c>
      <c r="AD77" s="51">
        <f t="shared" si="5"/>
        <v>0</v>
      </c>
      <c r="AE77" s="56">
        <f t="shared" si="6"/>
        <v>0</v>
      </c>
      <c r="AF77" s="56">
        <f t="shared" si="7"/>
        <v>0</v>
      </c>
      <c r="AG77" s="56">
        <f t="shared" si="8"/>
        <v>0</v>
      </c>
      <c r="AH77" s="89">
        <f t="shared" si="9"/>
        <v>219.39310229205779</v>
      </c>
      <c r="AI77" s="90" t="e">
        <f>VLOOKUP(Q77,Dados!$T$4:$U$19,2,FALSE)</f>
        <v>#N/A</v>
      </c>
      <c r="AJ77" s="91">
        <v>1</v>
      </c>
    </row>
    <row r="78" spans="1:36" customFormat="1" ht="13.5" thickBot="1">
      <c r="A78" s="52"/>
      <c r="B78" s="52"/>
      <c r="C78" s="52"/>
      <c r="D78" s="65"/>
      <c r="E78" s="270" t="s">
        <v>160</v>
      </c>
      <c r="F78" s="96" t="str">
        <f>CONCATENATE("ESPAÇO RESERVA ",IF(COUNTIF(F19:F77,"*")&lt;6,2,IF(COUNTIF(F19:F77,"*")&lt;12,3,IF(COUNTIF(F19:F77,"*")&lt;30,4,ROUNDUP(COUNTIF(F19:F77,"*")*0.15,0)))))</f>
        <v>ESPAÇO RESERVA 2</v>
      </c>
      <c r="G78" s="66"/>
      <c r="H78" s="66"/>
      <c r="I78" s="59"/>
      <c r="J78" s="64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9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8" s="67"/>
      <c r="AB78" s="59"/>
      <c r="AC78" s="68"/>
      <c r="AD78" s="51"/>
      <c r="AE78" s="68"/>
      <c r="AF78" s="68"/>
      <c r="AG78" s="68"/>
      <c r="AH78" s="89"/>
      <c r="AI78" s="90"/>
      <c r="AJ78" s="92"/>
    </row>
    <row r="79" spans="1:36" customFormat="1" ht="13.5" thickBot="1">
      <c r="F79" s="69" t="s">
        <v>161</v>
      </c>
      <c r="G79" s="69"/>
      <c r="H79" s="69"/>
      <c r="I79" s="99">
        <f>SUM(I18:I77)</f>
        <v>0</v>
      </c>
      <c r="J79" s="99">
        <f>SUM(J18:J77)</f>
        <v>0</v>
      </c>
      <c r="K79" s="69"/>
      <c r="L79" s="70">
        <f>SUM(L19:L77)</f>
        <v>0</v>
      </c>
      <c r="M79" s="70">
        <f>SUM(M19:M77)</f>
        <v>0</v>
      </c>
      <c r="N79" s="70">
        <f>SUM(N19:N77)</f>
        <v>0</v>
      </c>
      <c r="O79" s="71"/>
      <c r="Z79" s="9">
        <f>IFERROR(IF(_QD0124[[#This Row],[Colunas19]]&lt;0.3*_QD0124[[#This Row],[Colunas20]],_QD0124[[#This Row],[Colunas19]],_QD0124[[#This Row],[Colunas19]]/(INDEX(Dados!$Y:$AD,IFERROR(MATCH(COUNTIF($X$18:$X$76,_QD0124[[#This Row],[Colunas254]]),Dados!$Y:$Y,0),(MATCH(COUNTIF($X$18:$X$76,_QD0124[[#This Row],[Colunas254]]),Dados!$Y:$Y,)+1)),1+VALUE(MID(_QD0124[[#This Row],[Colunas253]],6,1))))),0)</f>
        <v>0</v>
      </c>
      <c r="AA79" s="146"/>
      <c r="AB79" s="147"/>
      <c r="AC79" s="123" t="e">
        <f>SUM(AE79:AG79)/SUM(L79:N79)</f>
        <v>#DIV/0!</v>
      </c>
      <c r="AD79" s="83"/>
      <c r="AE79" s="72">
        <f>SUM(AE19:AE78)</f>
        <v>0</v>
      </c>
      <c r="AF79" s="73">
        <f>SUM(AF19:AF78)</f>
        <v>0</v>
      </c>
      <c r="AG79" s="73">
        <f>SUM(AG19:AG78)</f>
        <v>0</v>
      </c>
      <c r="AH79" s="93"/>
      <c r="AI79" s="94"/>
      <c r="AJ79" s="95"/>
    </row>
    <row r="80" spans="1:36">
      <c r="L80" s="40"/>
      <c r="M80" s="40"/>
      <c r="N80" s="40"/>
      <c r="O80" s="40"/>
      <c r="AC80" s="41"/>
      <c r="AD80" s="41"/>
      <c r="AE80" s="213" t="s">
        <v>161</v>
      </c>
      <c r="AF80" s="213"/>
      <c r="AG80" s="213"/>
    </row>
    <row r="82" spans="6:19" ht="13.5" thickBot="1">
      <c r="F82" s="23"/>
    </row>
    <row r="83" spans="6:19" ht="14.25" thickTop="1" thickBot="1">
      <c r="F83" s="164" t="s">
        <v>162</v>
      </c>
      <c r="G83" s="165"/>
      <c r="H83" s="165"/>
      <c r="I83" s="165"/>
      <c r="J83" s="165"/>
      <c r="K83" s="165"/>
      <c r="L83" s="166"/>
    </row>
    <row r="84" spans="6:19" ht="13.5" thickBot="1">
      <c r="F84" s="167"/>
      <c r="G84" s="168"/>
      <c r="H84" s="168"/>
      <c r="I84" s="168"/>
      <c r="J84" s="168"/>
      <c r="K84" s="168"/>
      <c r="L84" s="169"/>
    </row>
    <row r="85" spans="6:19" ht="13.5" thickBot="1">
      <c r="F85" s="152"/>
      <c r="G85" s="248" t="s">
        <v>163</v>
      </c>
      <c r="H85" s="248"/>
      <c r="I85" s="248"/>
      <c r="J85" s="248"/>
      <c r="K85" s="248"/>
      <c r="L85" s="249"/>
    </row>
    <row r="86" spans="6:19" ht="13.5" thickBot="1">
      <c r="F86" s="153"/>
      <c r="G86" s="250" t="s">
        <v>164</v>
      </c>
      <c r="H86" s="250"/>
      <c r="I86" s="250"/>
      <c r="J86" s="250"/>
      <c r="K86" s="250"/>
      <c r="L86" s="251"/>
      <c r="S86" s="42"/>
    </row>
    <row r="87" spans="6:19" ht="13.5" thickBot="1">
      <c r="F87" s="154"/>
      <c r="G87" s="252" t="s">
        <v>165</v>
      </c>
      <c r="H87" s="253"/>
      <c r="I87" s="253"/>
      <c r="J87" s="253"/>
      <c r="K87" s="253"/>
      <c r="L87" s="254"/>
      <c r="S87" s="42"/>
    </row>
    <row r="88" spans="6:19" ht="13.5" thickBot="1">
      <c r="F88" s="155"/>
      <c r="G88" s="252" t="s">
        <v>166</v>
      </c>
      <c r="H88" s="255"/>
      <c r="I88" s="255"/>
      <c r="J88" s="255"/>
      <c r="K88" s="255"/>
      <c r="L88" s="256"/>
    </row>
    <row r="89" spans="6:19" ht="13.5" thickBot="1">
      <c r="F89" s="156"/>
      <c r="G89" s="257" t="s">
        <v>167</v>
      </c>
      <c r="H89" s="258"/>
      <c r="I89" s="258"/>
      <c r="J89" s="258"/>
      <c r="K89" s="258"/>
      <c r="L89" s="259"/>
    </row>
    <row r="90" spans="6:19" ht="13.5" thickTop="1"/>
  </sheetData>
  <sheetProtection selectLockedCells="1"/>
  <dataConsolidate/>
  <mergeCells count="73">
    <mergeCell ref="G85:L85"/>
    <mergeCell ref="G86:L86"/>
    <mergeCell ref="G87:L87"/>
    <mergeCell ref="G88:L88"/>
    <mergeCell ref="G89:L89"/>
    <mergeCell ref="A4:D15"/>
    <mergeCell ref="E4:E13"/>
    <mergeCell ref="G4:G5"/>
    <mergeCell ref="I4:J4"/>
    <mergeCell ref="K4:K13"/>
    <mergeCell ref="I12:J12"/>
    <mergeCell ref="L5:M7"/>
    <mergeCell ref="S6:S7"/>
    <mergeCell ref="T6:T7"/>
    <mergeCell ref="I10:J10"/>
    <mergeCell ref="E1:F1"/>
    <mergeCell ref="L2:M3"/>
    <mergeCell ref="L4:M4"/>
    <mergeCell ref="O10:P10"/>
    <mergeCell ref="S10:S11"/>
    <mergeCell ref="T10:T11"/>
    <mergeCell ref="I11:J11"/>
    <mergeCell ref="L11:M11"/>
    <mergeCell ref="O11:P11"/>
    <mergeCell ref="U6:U7"/>
    <mergeCell ref="V6:W7"/>
    <mergeCell ref="I7:J7"/>
    <mergeCell ref="R7:R13"/>
    <mergeCell ref="I8:J8"/>
    <mergeCell ref="L8:M8"/>
    <mergeCell ref="S8:S9"/>
    <mergeCell ref="T8:T9"/>
    <mergeCell ref="I9:J9"/>
    <mergeCell ref="L9:M10"/>
    <mergeCell ref="N4:N13"/>
    <mergeCell ref="Q4:Q13"/>
    <mergeCell ref="R4:R6"/>
    <mergeCell ref="S4:S5"/>
    <mergeCell ref="T4:T5"/>
    <mergeCell ref="I5:J5"/>
    <mergeCell ref="O12:P12"/>
    <mergeCell ref="S12:S13"/>
    <mergeCell ref="T12:T13"/>
    <mergeCell ref="I13:J13"/>
    <mergeCell ref="G15:K15"/>
    <mergeCell ref="O15:T15"/>
    <mergeCell ref="L12:M13"/>
    <mergeCell ref="A16:A17"/>
    <mergeCell ref="B16:B17"/>
    <mergeCell ref="C16:C17"/>
    <mergeCell ref="E16:E17"/>
    <mergeCell ref="F16:F17"/>
    <mergeCell ref="AH16:AH17"/>
    <mergeCell ref="AI16:AI17"/>
    <mergeCell ref="AJ16:AJ17"/>
    <mergeCell ref="S16:S17"/>
    <mergeCell ref="T16:T17"/>
    <mergeCell ref="U16:W16"/>
    <mergeCell ref="X16:Z16"/>
    <mergeCell ref="AA16:AA17"/>
    <mergeCell ref="AB16:AB17"/>
    <mergeCell ref="G16:G17"/>
    <mergeCell ref="F83:L84"/>
    <mergeCell ref="AE80:AG80"/>
    <mergeCell ref="AC16:AC17"/>
    <mergeCell ref="AD16:AD17"/>
    <mergeCell ref="AE16:AG16"/>
    <mergeCell ref="I16:J16"/>
    <mergeCell ref="L16:N16"/>
    <mergeCell ref="O16:O17"/>
    <mergeCell ref="P16:P17"/>
    <mergeCell ref="Q16:Q17"/>
    <mergeCell ref="R16:R17"/>
  </mergeCells>
  <conditionalFormatting sqref="O18">
    <cfRule type="cellIs" dxfId="101" priority="12" operator="greaterThan">
      <formula>16</formula>
    </cfRule>
    <cfRule type="cellIs" dxfId="100" priority="13" operator="notEqual">
      <formula>#REF!</formula>
    </cfRule>
  </conditionalFormatting>
  <conditionalFormatting sqref="T6:W7">
    <cfRule type="expression" dxfId="99" priority="2">
      <formula>ISBLANK($T$6)</formula>
    </cfRule>
  </conditionalFormatting>
  <conditionalFormatting sqref="U18">
    <cfRule type="cellIs" dxfId="98" priority="11" operator="notEqual">
      <formula>#REF!</formula>
    </cfRule>
  </conditionalFormatting>
  <conditionalFormatting sqref="U18:U77">
    <cfRule type="cellIs" dxfId="97" priority="6" operator="equal">
      <formula>"SIM"</formula>
    </cfRule>
  </conditionalFormatting>
  <conditionalFormatting sqref="U19">
    <cfRule type="cellIs" dxfId="96" priority="22" operator="notEqual">
      <formula>#REF!</formula>
    </cfRule>
  </conditionalFormatting>
  <conditionalFormatting sqref="U19:U77">
    <cfRule type="cellIs" dxfId="95" priority="17" operator="notEqual">
      <formula>#REF!</formula>
    </cfRule>
  </conditionalFormatting>
  <conditionalFormatting sqref="V18">
    <cfRule type="cellIs" dxfId="94" priority="8" operator="notEqual">
      <formula>#REF!</formula>
    </cfRule>
  </conditionalFormatting>
  <conditionalFormatting sqref="V18:V77">
    <cfRule type="cellIs" dxfId="93" priority="7" operator="greaterThan">
      <formula>16</formula>
    </cfRule>
  </conditionalFormatting>
  <conditionalFormatting sqref="V19">
    <cfRule type="cellIs" dxfId="92" priority="19" operator="notEqual">
      <formula>#REF!</formula>
    </cfRule>
  </conditionalFormatting>
  <conditionalFormatting sqref="V20:V77">
    <cfRule type="cellIs" dxfId="91" priority="16" operator="notEqual">
      <formula>#REF!</formula>
    </cfRule>
  </conditionalFormatting>
  <conditionalFormatting sqref="W19">
    <cfRule type="cellIs" dxfId="90" priority="20" operator="greaterThan">
      <formula>16</formula>
    </cfRule>
    <cfRule type="cellIs" dxfId="89" priority="21" operator="notEqual">
      <formula>#REF!</formula>
    </cfRule>
  </conditionalFormatting>
  <conditionalFormatting sqref="W18:Z18">
    <cfRule type="cellIs" dxfId="88" priority="9" operator="greaterThan">
      <formula>16</formula>
    </cfRule>
    <cfRule type="cellIs" dxfId="87" priority="10" operator="notEqual">
      <formula>#REF!</formula>
    </cfRule>
  </conditionalFormatting>
  <conditionalFormatting sqref="Z19:Z79">
    <cfRule type="expression" dxfId="86" priority="1">
      <formula>$Z19&gt;$T19</formula>
    </cfRule>
  </conditionalFormatting>
  <conditionalFormatting sqref="AB19:AB77">
    <cfRule type="expression" dxfId="85" priority="3">
      <formula>($AB19)&gt;=0.03</formula>
    </cfRule>
  </conditionalFormatting>
  <conditionalFormatting sqref="AJ18:AJ78">
    <cfRule type="cellIs" dxfId="84" priority="4" operator="equal">
      <formula>0</formula>
    </cfRule>
  </conditionalFormatting>
  <dataValidations disablePrompts="1" count="16">
    <dataValidation type="list" showInputMessage="1" showErrorMessage="1" promptTitle="Isolação do cabo" prompt="Selecione o tipo de isolação_x000a_PVC = 70ºC_x000a_EPR = 90ºC" sqref="R19:R78 S78:AA78" xr:uid="{F99CFC7F-2828-472D-A707-9A4A36D4D40C}">
      <formula1>iso</formula1>
    </dataValidation>
    <dataValidation type="list" allowBlank="1" showInputMessage="1" showErrorMessage="1" promptTitle="curva " prompt="selecione a curva do disjuntor" sqref="P19:P77" xr:uid="{BF80B533-0417-45E9-9A60-0E645C85F993}">
      <formula1>cu</formula1>
    </dataValidation>
    <dataValidation type="decimal" operator="lessThanOrEqual" allowBlank="1" showInputMessage="1" showErrorMessage="1" sqref="K19:K77" xr:uid="{FC34DAAC-91FE-4238-B7DD-7DBF2C62D2E4}">
      <formula1>1</formula1>
    </dataValidation>
    <dataValidation type="decimal" allowBlank="1" showInputMessage="1" showErrorMessage="1" sqref="AC19:AC77" xr:uid="{620947A0-7BFA-4E47-AB6C-9303DC1A1F0C}">
      <formula1>0</formula1>
      <formula2>100</formula2>
    </dataValidation>
    <dataValidation type="list" allowBlank="1" showInputMessage="1" showErrorMessage="1" sqref="U19:U77" xr:uid="{4682AEB7-D3E3-40EC-BE05-AE5264AD49D0}">
      <formula1>"SIM,NÃO,"</formula1>
    </dataValidation>
    <dataValidation type="list" allowBlank="1" showInputMessage="1" showErrorMessage="1" sqref="O11:P11" xr:uid="{1829A5A2-B377-436E-BE77-80D27A9C4BB9}">
      <formula1>"EXISTENTE,EPR,PVC,"</formula1>
    </dataValidation>
    <dataValidation type="list" allowBlank="1" showInputMessage="1" showErrorMessage="1" sqref="P9" xr:uid="{61C391CB-2E0E-4114-8220-1E7D070ECD1E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</x12ac:list>
        </mc:Choice>
        <mc:Fallback>
          <formula1>"2,5,4,6,10,16,25,35,50,70,95,120,150,185,240,EXISTENTE"</formula1>
        </mc:Fallback>
      </mc:AlternateContent>
    </dataValidation>
    <dataValidation type="list" allowBlank="1" showInputMessage="1" showErrorMessage="1" sqref="L12:M13" xr:uid="{69C2502B-8862-443B-A174-097EAD61DB3C}">
      <formula1>"SOBREPOR,EMBUTIR"</formula1>
    </dataValidation>
    <dataValidation type="list" allowBlank="1" showInputMessage="1" showErrorMessage="1" sqref="I4:J4" xr:uid="{E81AC183-76BC-42EB-AD45-AACA85485BE3}">
      <formula1>"F+N,2F,3F"</formula1>
    </dataValidation>
    <dataValidation type="list" allowBlank="1" showInputMessage="1" showErrorMessage="1" sqref="P5 P7" xr:uid="{7C22A082-2AE0-42F4-8672-E3B5138E3631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"2,5",4,6,10,16,25,35,50,70,95,120,150,185,240,EXISTENTE,</x12ac:list>
        </mc:Choice>
        <mc:Fallback>
          <formula1>"2,5,4,6,10,16,25,35,50,70,95,120,150,185,240,EXISTENTE,"</formula1>
        </mc:Fallback>
      </mc:AlternateContent>
    </dataValidation>
    <dataValidation type="list" showInputMessage="1" showErrorMessage="1" sqref="I5:J5" xr:uid="{856B010B-2302-4FF4-B199-BEFE1782B599}">
      <formula1>"EXISTENTE,16,20,25,32,40,50,63,70,80,100,125,150,160,200,225,250,300,315,350,400,450,600,630,800,1000,1200,1250,1500,1600,2000,2600,3000,3200,4000,6000"</formula1>
    </dataValidation>
    <dataValidation type="list" allowBlank="1" showInputMessage="1" showErrorMessage="1" sqref="V19:V77" xr:uid="{A0887596-90E1-49B2-954A-F4CCECAEB08D}">
      <formula1>"2P,4P"</formula1>
    </dataValidation>
    <dataValidation type="list" allowBlank="1" showInputMessage="1" showErrorMessage="1" sqref="W19" xr:uid="{7E0E614F-C8B3-425A-A6CA-B5464FF08556}">
      <formula1>",25A 30mA,40A 30mA,63A 30mA,80A 30mA"</formula1>
    </dataValidation>
    <dataValidation type="list" allowBlank="1" showInputMessage="1" showErrorMessage="1" sqref="W20:W77" xr:uid="{72209DF3-5CDD-4B2B-AA8B-12A6ED75004E}">
      <formula1>"25A 30mA,40A 30mA,63A 30mA,80A 30mA"</formula1>
    </dataValidation>
    <dataValidation type="list" showInputMessage="1" showErrorMessage="1" errorTitle="Erro" error="Selecione um sistema" promptTitle="Sistema de alimentação" prompt="Selecione o sistema de alimentação" sqref="G19:G78" xr:uid="{BE09BDD6-5D24-454D-AB17-039AE8EE1061}">
      <formula1>ALI</formula1>
    </dataValidation>
    <dataValidation type="list" allowBlank="1" showInputMessage="1" showErrorMessage="1" sqref="O19:O78" xr:uid="{F326833B-197F-425A-8664-F3A52AD58385}">
      <formula1>"10,16,20,25,32,40,50,63,70,80,100,125,150,160,200,225,250,300,315,350,400,450,600,630,800,1000,1200,1250,1500,1600,2000,2600,3000,3200,4000,6000,EXISTENTE"</formula1>
    </dataValidation>
  </dataValidations>
  <pageMargins left="0.25" right="0.25" top="0.75" bottom="0.75" header="0.3" footer="0.3"/>
  <pageSetup paperSize="9" scale="74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9C108F2-F6A7-4141-B9AC-F2A3E5B02E9D}">
          <x14:formula1>
            <xm:f>Dados!$Z$3:$AD$3</xm:f>
          </x14:formula1>
          <xm:sqref>Y19:Y77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60D4-0A3F-4D24-A9AB-E66803BD7F56}">
  <sheetPr>
    <tabColor rgb="FFFF9900"/>
    <pageSetUpPr fitToPage="1"/>
  </sheetPr>
  <dimension ref="A1:AK90"/>
  <sheetViews>
    <sheetView zoomScaleNormal="100" zoomScaleSheetLayoutView="82" workbookViewId="0">
      <selection activeCell="A20" sqref="A20"/>
    </sheetView>
  </sheetViews>
  <sheetFormatPr defaultRowHeight="12.75" outlineLevelCol="2"/>
  <cols>
    <col min="1" max="3" width="2.5703125" style="10" customWidth="1"/>
    <col min="4" max="4" width="11.7109375" style="10" hidden="1" customWidth="1"/>
    <col min="5" max="5" width="11.7109375" style="10" customWidth="1"/>
    <col min="6" max="6" width="33.42578125" style="10" customWidth="1"/>
    <col min="7" max="7" width="12.42578125" style="10" customWidth="1"/>
    <col min="8" max="8" width="2.140625" style="10" hidden="1" customWidth="1"/>
    <col min="9" max="9" width="11.7109375" style="10" customWidth="1"/>
    <col min="10" max="10" width="12.7109375" style="10" customWidth="1"/>
    <col min="11" max="11" width="8.140625" style="10" customWidth="1"/>
    <col min="12" max="14" width="10" style="10" customWidth="1"/>
    <col min="15" max="15" width="10.5703125" style="10" customWidth="1"/>
    <col min="16" max="16" width="12.7109375" style="10" customWidth="1"/>
    <col min="17" max="17" width="11.140625" style="10" customWidth="1"/>
    <col min="18" max="18" width="18" style="10" bestFit="1" customWidth="1"/>
    <col min="19" max="20" width="12.7109375" style="10" customWidth="1"/>
    <col min="21" max="23" width="12.7109375" style="10" customWidth="1" outlineLevel="1"/>
    <col min="24" max="24" width="9.140625" style="10" customWidth="1" outlineLevel="2"/>
    <col min="25" max="25" width="69.5703125" style="10" bestFit="1" customWidth="1" outlineLevel="2"/>
    <col min="26" max="26" width="12.5703125" style="10" bestFit="1" customWidth="1" outlineLevel="2"/>
    <col min="27" max="27" width="9.140625" style="10" customWidth="1" outlineLevel="1"/>
    <col min="28" max="28" width="12.28515625" style="10" customWidth="1"/>
    <col min="29" max="29" width="12.7109375" style="10" customWidth="1"/>
    <col min="30" max="33" width="12.7109375" style="10" customWidth="1" outlineLevel="1"/>
    <col min="34" max="37" width="9.140625" style="10" customWidth="1" outlineLevel="1"/>
    <col min="38" max="16384" width="9.140625" style="10"/>
  </cols>
  <sheetData>
    <row r="1" spans="1:36" ht="13.5" thickBot="1">
      <c r="E1" s="211" t="str">
        <f>CONCATENATE("VEM DO QUADRO ",INDEX(ALIMENTADORES!$1:$1048576,MATCH(NOME_DO_QUADRO,ALIMENTADORES!C:C,0),2))</f>
        <v xml:space="preserve">VEM DO QUADRO </v>
      </c>
      <c r="F1" s="212"/>
    </row>
    <row r="2" spans="1:36">
      <c r="L2" s="265" t="s">
        <v>25</v>
      </c>
      <c r="M2" s="172"/>
    </row>
    <row r="3" spans="1:36" ht="13.5" thickBot="1">
      <c r="L3" s="173"/>
      <c r="M3" s="173"/>
      <c r="N3" s="98" t="str">
        <f>VLOOKUP($L$5,ALIMENTADORES!$C$4:$N$13,12,FALSE)</f>
        <v/>
      </c>
    </row>
    <row r="4" spans="1:36" ht="17.25" customHeight="1">
      <c r="A4" s="227" t="s">
        <v>26</v>
      </c>
      <c r="B4" s="228"/>
      <c r="C4" s="228"/>
      <c r="D4" s="229"/>
      <c r="E4" s="187" t="s">
        <v>27</v>
      </c>
      <c r="F4" s="266" t="s">
        <v>28</v>
      </c>
      <c r="G4" s="236">
        <v>380</v>
      </c>
      <c r="H4" s="11">
        <f>IF(I4="F+N",G4,G4/SQRT(3))</f>
        <v>219.39310229205779</v>
      </c>
      <c r="I4" s="238" t="s">
        <v>29</v>
      </c>
      <c r="J4" s="239"/>
      <c r="K4" s="187" t="s">
        <v>30</v>
      </c>
      <c r="L4" s="214" t="s">
        <v>31</v>
      </c>
      <c r="M4" s="215"/>
      <c r="N4" s="187" t="s">
        <v>32</v>
      </c>
      <c r="O4" s="12" t="s">
        <v>33</v>
      </c>
      <c r="P4" s="267" t="s">
        <v>34</v>
      </c>
      <c r="Q4" s="187" t="s">
        <v>35</v>
      </c>
      <c r="R4" s="198" t="s">
        <v>36</v>
      </c>
      <c r="S4" s="190" t="s">
        <v>37</v>
      </c>
      <c r="T4" s="191">
        <v>54</v>
      </c>
    </row>
    <row r="5" spans="1:36" ht="15.75" customHeight="1" thickBot="1">
      <c r="A5" s="230"/>
      <c r="B5" s="231"/>
      <c r="C5" s="231"/>
      <c r="D5" s="232"/>
      <c r="E5" s="188"/>
      <c r="F5" s="13" t="s">
        <v>38</v>
      </c>
      <c r="G5" s="237"/>
      <c r="H5" s="14"/>
      <c r="I5" s="240"/>
      <c r="J5" s="241"/>
      <c r="K5" s="188"/>
      <c r="L5" s="204"/>
      <c r="M5" s="205"/>
      <c r="N5" s="188"/>
      <c r="O5" s="15">
        <v>3</v>
      </c>
      <c r="P5" s="16"/>
      <c r="Q5" s="188"/>
      <c r="R5" s="203"/>
      <c r="S5" s="185"/>
      <c r="T5" s="186"/>
    </row>
    <row r="6" spans="1:36" ht="15" customHeight="1" thickBot="1">
      <c r="A6" s="230"/>
      <c r="B6" s="231"/>
      <c r="C6" s="231"/>
      <c r="D6" s="232"/>
      <c r="E6" s="188"/>
      <c r="F6" s="17"/>
      <c r="G6" s="18"/>
      <c r="H6" s="18"/>
      <c r="I6" s="18"/>
      <c r="J6" s="19"/>
      <c r="K6" s="188"/>
      <c r="L6" s="204"/>
      <c r="M6" s="205"/>
      <c r="N6" s="188"/>
      <c r="O6" s="20" t="s">
        <v>33</v>
      </c>
      <c r="P6" s="268" t="s">
        <v>40</v>
      </c>
      <c r="Q6" s="188"/>
      <c r="R6" s="203"/>
      <c r="S6" s="185" t="s">
        <v>41</v>
      </c>
      <c r="T6" s="216"/>
      <c r="U6" s="210" t="s">
        <v>43</v>
      </c>
      <c r="V6" s="210" t="s">
        <v>44</v>
      </c>
      <c r="W6" s="210"/>
    </row>
    <row r="7" spans="1:36" ht="13.5" customHeight="1" thickBot="1">
      <c r="A7" s="230"/>
      <c r="B7" s="231"/>
      <c r="C7" s="231"/>
      <c r="D7" s="232"/>
      <c r="E7" s="188"/>
      <c r="F7" s="21" t="s">
        <v>45</v>
      </c>
      <c r="G7" s="40"/>
      <c r="I7" s="242" t="e">
        <f>(MAX(L79:N79)*IF(I4="3F",3,IF(I4="2F",2,IF(I4="F+N",1)))*G10+I9)/G4/IF(I4="3F",SQRT(3),1)</f>
        <v>#DIV/0!</v>
      </c>
      <c r="J7" s="243"/>
      <c r="K7" s="188"/>
      <c r="L7" s="206"/>
      <c r="M7" s="207"/>
      <c r="N7" s="188"/>
      <c r="O7" s="15">
        <v>1</v>
      </c>
      <c r="P7" s="16"/>
      <c r="Q7" s="188"/>
      <c r="R7" s="217"/>
      <c r="S7" s="185"/>
      <c r="T7" s="216"/>
      <c r="U7" s="210"/>
      <c r="V7" s="210"/>
      <c r="W7" s="210"/>
    </row>
    <row r="8" spans="1:36">
      <c r="A8" s="230"/>
      <c r="B8" s="231"/>
      <c r="C8" s="231"/>
      <c r="D8" s="232"/>
      <c r="E8" s="188"/>
      <c r="F8" s="22" t="s">
        <v>47</v>
      </c>
      <c r="G8" s="46"/>
      <c r="H8" s="47"/>
      <c r="I8" s="225" t="e">
        <f>SUM(I9:J10)</f>
        <v>#DIV/0!</v>
      </c>
      <c r="J8" s="226"/>
      <c r="K8" s="188"/>
      <c r="L8" s="201" t="s">
        <v>48</v>
      </c>
      <c r="M8" s="202"/>
      <c r="N8" s="188"/>
      <c r="O8" s="20" t="s">
        <v>33</v>
      </c>
      <c r="P8" s="268" t="s">
        <v>49</v>
      </c>
      <c r="Q8" s="188"/>
      <c r="R8" s="217"/>
      <c r="S8" s="185" t="s">
        <v>50</v>
      </c>
      <c r="T8" s="186" t="s">
        <v>51</v>
      </c>
      <c r="AB8" s="23"/>
    </row>
    <row r="9" spans="1:36" ht="12.75" customHeight="1">
      <c r="A9" s="230"/>
      <c r="B9" s="231"/>
      <c r="C9" s="231"/>
      <c r="D9" s="232"/>
      <c r="E9" s="188"/>
      <c r="F9" s="22" t="s">
        <v>52</v>
      </c>
      <c r="G9" s="48"/>
      <c r="H9" s="47"/>
      <c r="I9" s="225" t="e">
        <f>I10*G9</f>
        <v>#DIV/0!</v>
      </c>
      <c r="J9" s="226"/>
      <c r="K9" s="188"/>
      <c r="L9" s="181"/>
      <c r="M9" s="182"/>
      <c r="N9" s="188"/>
      <c r="O9" s="15">
        <v>1</v>
      </c>
      <c r="P9" s="16"/>
      <c r="Q9" s="188"/>
      <c r="R9" s="217"/>
      <c r="S9" s="185"/>
      <c r="T9" s="186"/>
      <c r="AB9" s="269"/>
    </row>
    <row r="10" spans="1:36" ht="13.5" customHeight="1" thickBot="1">
      <c r="A10" s="230"/>
      <c r="B10" s="231"/>
      <c r="C10" s="231"/>
      <c r="D10" s="232"/>
      <c r="E10" s="188"/>
      <c r="F10" s="22" t="s">
        <v>54</v>
      </c>
      <c r="G10" s="48" t="e">
        <f>AC79</f>
        <v>#DIV/0!</v>
      </c>
      <c r="H10" s="47"/>
      <c r="I10" s="225" t="e">
        <f>I11*G10</f>
        <v>#DIV/0!</v>
      </c>
      <c r="J10" s="226"/>
      <c r="K10" s="188"/>
      <c r="L10" s="181"/>
      <c r="M10" s="182"/>
      <c r="N10" s="188"/>
      <c r="O10" s="185" t="s">
        <v>55</v>
      </c>
      <c r="P10" s="186"/>
      <c r="Q10" s="188"/>
      <c r="R10" s="217"/>
      <c r="S10" s="185" t="s">
        <v>56</v>
      </c>
      <c r="T10" s="186" t="s">
        <v>57</v>
      </c>
    </row>
    <row r="11" spans="1:36" ht="15">
      <c r="A11" s="230"/>
      <c r="B11" s="231"/>
      <c r="C11" s="231"/>
      <c r="D11" s="232"/>
      <c r="E11" s="188"/>
      <c r="F11" s="22" t="s">
        <v>58</v>
      </c>
      <c r="G11" s="46"/>
      <c r="H11" s="47"/>
      <c r="I11" s="225">
        <f>SUM(I18:I77)</f>
        <v>0</v>
      </c>
      <c r="J11" s="226"/>
      <c r="K11" s="188"/>
      <c r="L11" s="201" t="s">
        <v>59</v>
      </c>
      <c r="M11" s="202"/>
      <c r="N11" s="188"/>
      <c r="O11" s="192" t="s">
        <v>60</v>
      </c>
      <c r="P11" s="193"/>
      <c r="Q11" s="188"/>
      <c r="R11" s="217"/>
      <c r="S11" s="185"/>
      <c r="T11" s="186"/>
    </row>
    <row r="12" spans="1:36">
      <c r="A12" s="230"/>
      <c r="B12" s="231"/>
      <c r="C12" s="231"/>
      <c r="D12" s="232"/>
      <c r="E12" s="188"/>
      <c r="F12" s="22" t="s">
        <v>61</v>
      </c>
      <c r="G12" s="46"/>
      <c r="H12" s="47"/>
      <c r="I12" s="221" t="e">
        <f>AVERAGE(L79:N79)/MAX(L79:N79)</f>
        <v>#DIV/0!</v>
      </c>
      <c r="J12" s="222"/>
      <c r="K12" s="188"/>
      <c r="L12" s="181"/>
      <c r="M12" s="182"/>
      <c r="N12" s="188"/>
      <c r="O12" s="185" t="s">
        <v>63</v>
      </c>
      <c r="P12" s="186"/>
      <c r="Q12" s="188"/>
      <c r="R12" s="217"/>
      <c r="S12" s="185" t="s">
        <v>64</v>
      </c>
      <c r="T12" s="186" t="s">
        <v>65</v>
      </c>
    </row>
    <row r="13" spans="1:36" ht="13.5" thickBot="1">
      <c r="A13" s="230"/>
      <c r="B13" s="231"/>
      <c r="C13" s="231"/>
      <c r="D13" s="232"/>
      <c r="E13" s="189"/>
      <c r="F13" s="24" t="s">
        <v>66</v>
      </c>
      <c r="G13" s="49"/>
      <c r="H13" s="14"/>
      <c r="I13" s="223" t="e">
        <f>SUM($J79)/SUM($L79:$N79)</f>
        <v>#DIV/0!</v>
      </c>
      <c r="J13" s="224"/>
      <c r="K13" s="189"/>
      <c r="L13" s="183"/>
      <c r="M13" s="184"/>
      <c r="N13" s="189"/>
      <c r="O13" s="25"/>
      <c r="P13" s="26" t="s">
        <v>67</v>
      </c>
      <c r="Q13" s="189"/>
      <c r="R13" s="218"/>
      <c r="S13" s="219"/>
      <c r="T13" s="220"/>
    </row>
    <row r="14" spans="1:36" ht="13.5" thickBot="1">
      <c r="A14" s="230"/>
      <c r="B14" s="231"/>
      <c r="C14" s="231"/>
      <c r="D14" s="232"/>
      <c r="T14" s="27"/>
    </row>
    <row r="15" spans="1:36" ht="13.5" hidden="1" customHeight="1">
      <c r="A15" s="233"/>
      <c r="B15" s="234"/>
      <c r="C15" s="234"/>
      <c r="D15" s="235"/>
      <c r="G15" s="244" t="s">
        <v>68</v>
      </c>
      <c r="H15" s="244"/>
      <c r="I15" s="244"/>
      <c r="J15" s="244"/>
      <c r="K15" s="244"/>
      <c r="L15" s="28" t="e">
        <f>#REF!</f>
        <v>#REF!</v>
      </c>
      <c r="M15" s="28" t="e">
        <f>#REF!</f>
        <v>#REF!</v>
      </c>
      <c r="N15" s="28" t="e">
        <f>#REF!</f>
        <v>#REF!</v>
      </c>
      <c r="O15" s="244" t="s">
        <v>69</v>
      </c>
      <c r="P15" s="244"/>
      <c r="Q15" s="244"/>
      <c r="R15" s="244"/>
      <c r="S15" s="244"/>
      <c r="T15" s="245"/>
    </row>
    <row r="16" spans="1:36" ht="13.5" customHeight="1" thickBot="1">
      <c r="A16" s="246" t="s">
        <v>70</v>
      </c>
      <c r="B16" s="194" t="s">
        <v>71</v>
      </c>
      <c r="C16" s="194" t="s">
        <v>72</v>
      </c>
      <c r="D16" s="29"/>
      <c r="E16" s="196" t="s">
        <v>73</v>
      </c>
      <c r="F16" s="198" t="s">
        <v>74</v>
      </c>
      <c r="G16" s="171" t="s">
        <v>75</v>
      </c>
      <c r="H16" s="30"/>
      <c r="I16" s="174" t="s">
        <v>76</v>
      </c>
      <c r="J16" s="174"/>
      <c r="K16" s="30"/>
      <c r="L16" s="174" t="s">
        <v>77</v>
      </c>
      <c r="M16" s="174"/>
      <c r="N16" s="174"/>
      <c r="O16" s="200" t="s">
        <v>78</v>
      </c>
      <c r="P16" s="175" t="s">
        <v>79</v>
      </c>
      <c r="Q16" s="200" t="s">
        <v>80</v>
      </c>
      <c r="R16" s="171" t="s">
        <v>81</v>
      </c>
      <c r="S16" s="171" t="s">
        <v>82</v>
      </c>
      <c r="T16" s="208" t="s">
        <v>83</v>
      </c>
      <c r="U16" s="208" t="s">
        <v>84</v>
      </c>
      <c r="V16" s="209"/>
      <c r="W16" s="170"/>
      <c r="X16" s="208" t="s">
        <v>85</v>
      </c>
      <c r="Y16" s="209"/>
      <c r="Z16" s="170"/>
      <c r="AA16" s="177" t="s">
        <v>86</v>
      </c>
      <c r="AB16" s="179" t="s">
        <v>87</v>
      </c>
      <c r="AC16" s="175" t="s">
        <v>88</v>
      </c>
      <c r="AD16" s="175" t="s">
        <v>89</v>
      </c>
      <c r="AE16" s="174" t="s">
        <v>90</v>
      </c>
      <c r="AF16" s="174"/>
      <c r="AG16" s="174"/>
      <c r="AH16" s="170" t="s">
        <v>91</v>
      </c>
      <c r="AI16" s="170" t="s">
        <v>8</v>
      </c>
      <c r="AJ16" s="171" t="s">
        <v>9</v>
      </c>
    </row>
    <row r="17" spans="1:36" ht="13.5" thickBot="1">
      <c r="A17" s="247"/>
      <c r="B17" s="195"/>
      <c r="C17" s="195"/>
      <c r="D17" s="31"/>
      <c r="E17" s="197"/>
      <c r="F17" s="199"/>
      <c r="G17" s="171"/>
      <c r="H17" s="32" t="s">
        <v>92</v>
      </c>
      <c r="I17" s="32" t="s">
        <v>93</v>
      </c>
      <c r="J17" s="32" t="s">
        <v>92</v>
      </c>
      <c r="K17" s="32" t="s">
        <v>94</v>
      </c>
      <c r="L17" s="32" t="s">
        <v>70</v>
      </c>
      <c r="M17" s="32" t="s">
        <v>71</v>
      </c>
      <c r="N17" s="32" t="s">
        <v>72</v>
      </c>
      <c r="O17" s="200"/>
      <c r="P17" s="176"/>
      <c r="Q17" s="200"/>
      <c r="R17" s="171"/>
      <c r="S17" s="171"/>
      <c r="T17" s="208"/>
      <c r="U17" s="32" t="s">
        <v>95</v>
      </c>
      <c r="V17" s="33" t="s">
        <v>96</v>
      </c>
      <c r="W17" s="33" t="s">
        <v>97</v>
      </c>
      <c r="X17" s="32" t="s">
        <v>98</v>
      </c>
      <c r="Y17" s="33" t="s">
        <v>99</v>
      </c>
      <c r="Z17" s="33" t="s">
        <v>100</v>
      </c>
      <c r="AA17" s="178"/>
      <c r="AB17" s="180"/>
      <c r="AC17" s="176"/>
      <c r="AD17" s="176"/>
      <c r="AE17" s="32" t="s">
        <v>70</v>
      </c>
      <c r="AF17" s="32" t="s">
        <v>71</v>
      </c>
      <c r="AG17" s="32" t="s">
        <v>72</v>
      </c>
      <c r="AH17" s="170"/>
      <c r="AI17" s="170"/>
      <c r="AJ17" s="171"/>
    </row>
    <row r="18" spans="1:36" ht="13.5" hidden="1" customHeight="1" thickBot="1">
      <c r="A18" s="43" t="s">
        <v>101</v>
      </c>
      <c r="B18" s="43" t="s">
        <v>102</v>
      </c>
      <c r="C18" s="43" t="s">
        <v>103</v>
      </c>
      <c r="D18" s="43" t="s">
        <v>104</v>
      </c>
      <c r="E18" s="44" t="s">
        <v>105</v>
      </c>
      <c r="F18" s="44" t="s">
        <v>106</v>
      </c>
      <c r="G18" s="44" t="s">
        <v>107</v>
      </c>
      <c r="H18" s="44" t="s">
        <v>108</v>
      </c>
      <c r="I18" s="45" t="s">
        <v>109</v>
      </c>
      <c r="J18" s="35" t="s">
        <v>110</v>
      </c>
      <c r="K18" s="36" t="s">
        <v>111</v>
      </c>
      <c r="L18" s="34" t="s">
        <v>112</v>
      </c>
      <c r="M18" s="34" t="s">
        <v>113</v>
      </c>
      <c r="N18" s="34" t="s">
        <v>114</v>
      </c>
      <c r="O18" s="36" t="s">
        <v>115</v>
      </c>
      <c r="P18" s="36" t="s">
        <v>116</v>
      </c>
      <c r="Q18" s="36" t="s">
        <v>117</v>
      </c>
      <c r="R18" s="36" t="s">
        <v>118</v>
      </c>
      <c r="S18" s="37" t="s">
        <v>119</v>
      </c>
      <c r="T18" s="36" t="s">
        <v>120</v>
      </c>
      <c r="U18" s="142" t="s">
        <v>121</v>
      </c>
      <c r="V18" s="50" t="s">
        <v>122</v>
      </c>
      <c r="W18" s="139" t="s">
        <v>123</v>
      </c>
      <c r="X18" s="138" t="s">
        <v>124</v>
      </c>
      <c r="Y18" s="136" t="s">
        <v>125</v>
      </c>
      <c r="Z18" s="139" t="s">
        <v>126</v>
      </c>
      <c r="AA18" s="38" t="s">
        <v>127</v>
      </c>
      <c r="AB18" s="84" t="s">
        <v>128</v>
      </c>
      <c r="AC18" s="39" t="s">
        <v>129</v>
      </c>
      <c r="AD18" s="82" t="s">
        <v>130</v>
      </c>
      <c r="AE18" s="36" t="s">
        <v>131</v>
      </c>
      <c r="AF18" s="36" t="s">
        <v>132</v>
      </c>
      <c r="AG18" s="36" t="s">
        <v>133</v>
      </c>
      <c r="AH18" s="86"/>
      <c r="AI18" s="87"/>
      <c r="AJ18" s="88"/>
    </row>
    <row r="19" spans="1:36" customFormat="1">
      <c r="A19" s="52" t="s">
        <v>134</v>
      </c>
      <c r="B19" s="52"/>
      <c r="C19" s="52"/>
      <c r="D19" s="52"/>
      <c r="E19" s="53"/>
      <c r="F19" s="53"/>
      <c r="G19" s="53" t="s">
        <v>137</v>
      </c>
      <c r="H19" s="53"/>
      <c r="I19" s="54"/>
      <c r="J19" s="55">
        <f t="shared" ref="J19:J77" si="0">I19*K19</f>
        <v>0</v>
      </c>
      <c r="K19" s="56">
        <v>0.92</v>
      </c>
      <c r="L19" s="57">
        <f t="shared" ref="L19:L77" si="1">IF(A19="",0,$I19/COUNTA(A19:C19))</f>
        <v>0</v>
      </c>
      <c r="M19" s="57">
        <f t="shared" ref="M19:M77" si="2">IF(B19="",0,$I19/COUNTA(A19:C19))</f>
        <v>0</v>
      </c>
      <c r="N19" s="57">
        <f t="shared" ref="N19:N77" si="3">IF(C19="",0,$I19/COUNTA(A19:C19))</f>
        <v>0</v>
      </c>
      <c r="O19" s="56"/>
      <c r="P19" s="56" t="s">
        <v>138</v>
      </c>
      <c r="Q19" s="56" t="e">
        <f>IF(R19="PVC",VLOOKUP(O19,Dados!C$3:D$19,2),IF(R19="EPR",VLOOKUP(O19,Dados!C$22:D$38,2)))</f>
        <v>#N/A</v>
      </c>
      <c r="R19" s="56" t="s">
        <v>139</v>
      </c>
      <c r="S19" s="51">
        <f>IF(G19="F+N",I19/H$4,IF(G19="2F",I19/G$4, IF(G19="3F",I19/G$4/SQRT(3))))</f>
        <v>0</v>
      </c>
      <c r="T19" s="56" t="e">
        <f>IF(R19="PVC",VLOOKUP(Q19,Dados!L$3:M$18,2),IF(R19="EPR",VLOOKUP(Q19,Dados!L$3:N$18,3)))</f>
        <v>#N/A</v>
      </c>
      <c r="U19" s="143" t="s">
        <v>140</v>
      </c>
      <c r="V19" s="58"/>
      <c r="W19" s="144"/>
      <c r="X19" s="140"/>
      <c r="Y19" s="137"/>
      <c r="Z19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19" s="85"/>
      <c r="AB19" s="101" t="e">
        <f t="shared" ref="AB19:AB77" si="4">S19*AA19*AI19/AH19/AJ19/1000</f>
        <v>#N/A</v>
      </c>
      <c r="AC19" s="60">
        <v>1</v>
      </c>
      <c r="AD19" s="51">
        <f t="shared" ref="AD19:AD77" si="5">IF(G19="F+N",I19/H$4,IF(G19="2F",I19/G$4, IF(G19="3F",I19/G$4/SQRT(3))))*AC19</f>
        <v>0</v>
      </c>
      <c r="AE19" s="56">
        <f t="shared" ref="AE19:AE77" si="6">IF(A19="",0,$I19/COUNTA(A19:C19)*$AC19)</f>
        <v>0</v>
      </c>
      <c r="AF19" s="56">
        <f t="shared" ref="AF19:AF77" si="7">IF(B19="",0,$I19/COUNTA(A19:C19)*$AC19)</f>
        <v>0</v>
      </c>
      <c r="AG19" s="56">
        <f t="shared" ref="AG19:AG77" si="8">IF(C19="",0,$I19/COUNTA(A19:C19)*$AC19)</f>
        <v>0</v>
      </c>
      <c r="AH19" s="89">
        <f t="shared" ref="AH19:AH77" si="9">IF(G19="3F",$G$4,IF(G19="2F",$G$4,IF(G19="F+N",$H$4)))</f>
        <v>219.39310229205779</v>
      </c>
      <c r="AI19" s="90" t="e">
        <f>VLOOKUP(Q19,Dados!$T$4:$U$19,2,FALSE)</f>
        <v>#N/A</v>
      </c>
      <c r="AJ19" s="91">
        <v>1</v>
      </c>
    </row>
    <row r="20" spans="1:36" customFormat="1">
      <c r="A20" s="61"/>
      <c r="B20" s="52" t="s">
        <v>134</v>
      </c>
      <c r="C20" s="52"/>
      <c r="D20" s="52"/>
      <c r="E20" s="53"/>
      <c r="F20" s="53"/>
      <c r="G20" s="53" t="s">
        <v>137</v>
      </c>
      <c r="H20" s="53"/>
      <c r="I20" s="54"/>
      <c r="J20" s="55">
        <f t="shared" si="0"/>
        <v>0</v>
      </c>
      <c r="K20" s="56">
        <v>0.92</v>
      </c>
      <c r="L20" s="57">
        <f t="shared" si="1"/>
        <v>0</v>
      </c>
      <c r="M20" s="57">
        <f t="shared" si="2"/>
        <v>0</v>
      </c>
      <c r="N20" s="57">
        <f t="shared" si="3"/>
        <v>0</v>
      </c>
      <c r="O20" s="56"/>
      <c r="P20" s="56" t="s">
        <v>138</v>
      </c>
      <c r="Q20" s="56" t="e">
        <f>IF(R20="PVC",VLOOKUP(O20,Dados!C$3:D$19,2),IF(R20="EPR",VLOOKUP(O20,Dados!C$22:D$38,2)))</f>
        <v>#N/A</v>
      </c>
      <c r="R20" s="56" t="s">
        <v>139</v>
      </c>
      <c r="S20" s="51">
        <f t="shared" ref="S20:S77" si="10">IF(G20="F+N",I20/H$4,IF(G20="2F",I20/G$4, IF(G20="3F",I20/G$4/SQRT(3))))</f>
        <v>0</v>
      </c>
      <c r="T20" s="56" t="e">
        <f>IF(R20="PVC",VLOOKUP(Q20,Dados!L$3:M$18,2),IF(R20="EPR",VLOOKUP(Q20,Dados!L$3:N$18,3)))</f>
        <v>#N/A</v>
      </c>
      <c r="U20" s="143" t="s">
        <v>140</v>
      </c>
      <c r="V20" s="62"/>
      <c r="W20" s="145"/>
      <c r="X20" s="140"/>
      <c r="Y20" s="137"/>
      <c r="Z20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0" s="63"/>
      <c r="AB20" s="101" t="e">
        <f t="shared" si="4"/>
        <v>#N/A</v>
      </c>
      <c r="AC20" s="60">
        <v>1</v>
      </c>
      <c r="AD20" s="51">
        <f t="shared" si="5"/>
        <v>0</v>
      </c>
      <c r="AE20" s="56">
        <f t="shared" si="6"/>
        <v>0</v>
      </c>
      <c r="AF20" s="56">
        <f t="shared" si="7"/>
        <v>0</v>
      </c>
      <c r="AG20" s="56">
        <f t="shared" si="8"/>
        <v>0</v>
      </c>
      <c r="AH20" s="89">
        <f t="shared" si="9"/>
        <v>219.39310229205779</v>
      </c>
      <c r="AI20" s="90" t="e">
        <f>VLOOKUP(Q20,Dados!$T$4:$U$19,2,FALSE)</f>
        <v>#N/A</v>
      </c>
      <c r="AJ20" s="91">
        <v>1</v>
      </c>
    </row>
    <row r="21" spans="1:36" customFormat="1">
      <c r="A21" s="52"/>
      <c r="B21" s="52"/>
      <c r="C21" s="52" t="s">
        <v>134</v>
      </c>
      <c r="D21" s="52"/>
      <c r="E21" s="53"/>
      <c r="F21" s="53"/>
      <c r="G21" s="53" t="s">
        <v>137</v>
      </c>
      <c r="H21" s="53"/>
      <c r="I21" s="54"/>
      <c r="J21" s="55">
        <f t="shared" si="0"/>
        <v>0</v>
      </c>
      <c r="K21" s="56">
        <v>0.92</v>
      </c>
      <c r="L21" s="57">
        <f t="shared" si="1"/>
        <v>0</v>
      </c>
      <c r="M21" s="57">
        <f t="shared" si="2"/>
        <v>0</v>
      </c>
      <c r="N21" s="57">
        <f t="shared" si="3"/>
        <v>0</v>
      </c>
      <c r="O21" s="56"/>
      <c r="P21" s="56" t="s">
        <v>138</v>
      </c>
      <c r="Q21" s="56" t="e">
        <f>IF(R21="PVC",VLOOKUP(O21,Dados!C$3:D$19,2),IF(R21="EPR",VLOOKUP(O21,Dados!C$22:D$38,2)))</f>
        <v>#N/A</v>
      </c>
      <c r="R21" s="56" t="s">
        <v>139</v>
      </c>
      <c r="S21" s="51">
        <f t="shared" si="10"/>
        <v>0</v>
      </c>
      <c r="T21" s="56" t="e">
        <f>IF(R21="PVC",VLOOKUP(Q21,Dados!L$3:M$18,2),IF(R21="EPR",VLOOKUP(Q21,Dados!L$3:N$18,3)))</f>
        <v>#N/A</v>
      </c>
      <c r="U21" s="143" t="s">
        <v>140</v>
      </c>
      <c r="V21" s="62"/>
      <c r="W21" s="145"/>
      <c r="X21" s="140"/>
      <c r="Y21" s="137"/>
      <c r="Z21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1" s="63"/>
      <c r="AB21" s="101" t="e">
        <f t="shared" si="4"/>
        <v>#N/A</v>
      </c>
      <c r="AC21" s="60">
        <v>1</v>
      </c>
      <c r="AD21" s="51">
        <f t="shared" si="5"/>
        <v>0</v>
      </c>
      <c r="AE21" s="56">
        <f t="shared" si="6"/>
        <v>0</v>
      </c>
      <c r="AF21" s="56">
        <f t="shared" si="7"/>
        <v>0</v>
      </c>
      <c r="AG21" s="56">
        <f t="shared" si="8"/>
        <v>0</v>
      </c>
      <c r="AH21" s="89">
        <f t="shared" si="9"/>
        <v>219.39310229205779</v>
      </c>
      <c r="AI21" s="90" t="e">
        <f>VLOOKUP(Q21,Dados!$T$4:$U$19,2,FALSE)</f>
        <v>#N/A</v>
      </c>
      <c r="AJ21" s="91">
        <v>1</v>
      </c>
    </row>
    <row r="22" spans="1:36" customFormat="1">
      <c r="A22" s="61" t="s">
        <v>134</v>
      </c>
      <c r="B22" s="52"/>
      <c r="C22" s="52"/>
      <c r="D22" s="52"/>
      <c r="E22" s="53"/>
      <c r="F22" s="53"/>
      <c r="G22" s="53" t="s">
        <v>137</v>
      </c>
      <c r="H22" s="53"/>
      <c r="I22" s="54"/>
      <c r="J22" s="55">
        <f t="shared" si="0"/>
        <v>0</v>
      </c>
      <c r="K22" s="56">
        <v>0.92</v>
      </c>
      <c r="L22" s="57">
        <f t="shared" si="1"/>
        <v>0</v>
      </c>
      <c r="M22" s="57">
        <f t="shared" si="2"/>
        <v>0</v>
      </c>
      <c r="N22" s="57">
        <f t="shared" si="3"/>
        <v>0</v>
      </c>
      <c r="O22" s="56"/>
      <c r="P22" s="56" t="s">
        <v>138</v>
      </c>
      <c r="Q22" s="56" t="e">
        <f>IF(R22="PVC",VLOOKUP(O22,Dados!C$3:D$19,2),IF(R22="EPR",VLOOKUP(O22,Dados!C$22:D$38,2)))</f>
        <v>#N/A</v>
      </c>
      <c r="R22" s="56" t="s">
        <v>139</v>
      </c>
      <c r="S22" s="51">
        <f t="shared" si="10"/>
        <v>0</v>
      </c>
      <c r="T22" s="56" t="e">
        <f>IF(R22="PVC",VLOOKUP(Q22,Dados!L$3:M$18,2),IF(R22="EPR",VLOOKUP(Q22,Dados!L$3:N$18,3)))</f>
        <v>#N/A</v>
      </c>
      <c r="U22" s="143" t="s">
        <v>140</v>
      </c>
      <c r="V22" s="62"/>
      <c r="W22" s="145"/>
      <c r="X22" s="140"/>
      <c r="Y22" s="137"/>
      <c r="Z22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2" s="63"/>
      <c r="AB22" s="101" t="e">
        <f t="shared" si="4"/>
        <v>#N/A</v>
      </c>
      <c r="AC22" s="60">
        <v>1</v>
      </c>
      <c r="AD22" s="51">
        <f t="shared" si="5"/>
        <v>0</v>
      </c>
      <c r="AE22" s="56">
        <f t="shared" si="6"/>
        <v>0</v>
      </c>
      <c r="AF22" s="56">
        <f t="shared" si="7"/>
        <v>0</v>
      </c>
      <c r="AG22" s="56">
        <f t="shared" si="8"/>
        <v>0</v>
      </c>
      <c r="AH22" s="89">
        <f t="shared" si="9"/>
        <v>219.39310229205779</v>
      </c>
      <c r="AI22" s="90" t="e">
        <f>VLOOKUP(Q22,Dados!$T$4:$U$19,2,FALSE)</f>
        <v>#N/A</v>
      </c>
      <c r="AJ22" s="91">
        <v>1</v>
      </c>
    </row>
    <row r="23" spans="1:36" customFormat="1">
      <c r="A23" s="52"/>
      <c r="B23" s="52" t="s">
        <v>134</v>
      </c>
      <c r="C23" s="52"/>
      <c r="D23" s="52"/>
      <c r="E23" s="53"/>
      <c r="F23" s="53"/>
      <c r="G23" s="53" t="s">
        <v>137</v>
      </c>
      <c r="H23" s="53"/>
      <c r="I23" s="54"/>
      <c r="J23" s="55">
        <f t="shared" si="0"/>
        <v>0</v>
      </c>
      <c r="K23" s="56">
        <v>0.92</v>
      </c>
      <c r="L23" s="57">
        <f t="shared" si="1"/>
        <v>0</v>
      </c>
      <c r="M23" s="57">
        <f t="shared" si="2"/>
        <v>0</v>
      </c>
      <c r="N23" s="57">
        <f t="shared" si="3"/>
        <v>0</v>
      </c>
      <c r="O23" s="56"/>
      <c r="P23" s="56" t="s">
        <v>138</v>
      </c>
      <c r="Q23" s="56" t="e">
        <f>IF(R23="PVC",VLOOKUP(O23,Dados!C$3:D$19,2),IF(R23="EPR",VLOOKUP(O23,Dados!C$22:D$38,2)))</f>
        <v>#N/A</v>
      </c>
      <c r="R23" s="56" t="s">
        <v>139</v>
      </c>
      <c r="S23" s="51">
        <f t="shared" si="10"/>
        <v>0</v>
      </c>
      <c r="T23" s="56" t="e">
        <f>IF(R23="PVC",VLOOKUP(Q23,Dados!L$3:M$18,2),IF(R23="EPR",VLOOKUP(Q23,Dados!L$3:N$18,3)))</f>
        <v>#N/A</v>
      </c>
      <c r="U23" s="143" t="s">
        <v>140</v>
      </c>
      <c r="V23" s="62"/>
      <c r="W23" s="145"/>
      <c r="X23" s="140"/>
      <c r="Y23" s="137"/>
      <c r="Z23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3" s="63"/>
      <c r="AB23" s="101" t="e">
        <f t="shared" si="4"/>
        <v>#N/A</v>
      </c>
      <c r="AC23" s="60">
        <v>1</v>
      </c>
      <c r="AD23" s="51">
        <f t="shared" si="5"/>
        <v>0</v>
      </c>
      <c r="AE23" s="56">
        <f t="shared" si="6"/>
        <v>0</v>
      </c>
      <c r="AF23" s="56">
        <f t="shared" si="7"/>
        <v>0</v>
      </c>
      <c r="AG23" s="56">
        <f t="shared" si="8"/>
        <v>0</v>
      </c>
      <c r="AH23" s="89">
        <f t="shared" si="9"/>
        <v>219.39310229205779</v>
      </c>
      <c r="AI23" s="90" t="e">
        <f>VLOOKUP(Q23,Dados!$T$4:$U$19,2,FALSE)</f>
        <v>#N/A</v>
      </c>
      <c r="AJ23" s="91">
        <v>1</v>
      </c>
    </row>
    <row r="24" spans="1:36" customFormat="1">
      <c r="A24" s="52"/>
      <c r="B24" s="52"/>
      <c r="C24" s="52" t="s">
        <v>134</v>
      </c>
      <c r="D24" s="52"/>
      <c r="E24" s="53"/>
      <c r="F24" s="53"/>
      <c r="G24" s="53" t="s">
        <v>137</v>
      </c>
      <c r="H24" s="53"/>
      <c r="I24" s="54"/>
      <c r="J24" s="55">
        <f t="shared" si="0"/>
        <v>0</v>
      </c>
      <c r="K24" s="56">
        <v>0.92</v>
      </c>
      <c r="L24" s="57">
        <f t="shared" si="1"/>
        <v>0</v>
      </c>
      <c r="M24" s="57">
        <f t="shared" si="2"/>
        <v>0</v>
      </c>
      <c r="N24" s="57">
        <f t="shared" si="3"/>
        <v>0</v>
      </c>
      <c r="O24" s="56"/>
      <c r="P24" s="56" t="s">
        <v>138</v>
      </c>
      <c r="Q24" s="56" t="e">
        <f>IF(R24="PVC",VLOOKUP(O24,Dados!C$3:D$19,2),IF(R24="EPR",VLOOKUP(O24,Dados!C$22:D$38,2)))</f>
        <v>#N/A</v>
      </c>
      <c r="R24" s="56" t="s">
        <v>139</v>
      </c>
      <c r="S24" s="51">
        <f t="shared" si="10"/>
        <v>0</v>
      </c>
      <c r="T24" s="56" t="e">
        <f>IF(R24="PVC",VLOOKUP(Q24,Dados!L$3:M$18,2),IF(R24="EPR",VLOOKUP(Q24,Dados!L$3:N$18,3)))</f>
        <v>#N/A</v>
      </c>
      <c r="U24" s="143" t="s">
        <v>140</v>
      </c>
      <c r="V24" s="62"/>
      <c r="W24" s="145"/>
      <c r="X24" s="140"/>
      <c r="Y24" s="137"/>
      <c r="Z24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4" s="63"/>
      <c r="AB24" s="101" t="e">
        <f t="shared" si="4"/>
        <v>#N/A</v>
      </c>
      <c r="AC24" s="60">
        <v>1</v>
      </c>
      <c r="AD24" s="51">
        <f t="shared" si="5"/>
        <v>0</v>
      </c>
      <c r="AE24" s="56">
        <f t="shared" si="6"/>
        <v>0</v>
      </c>
      <c r="AF24" s="56">
        <f t="shared" si="7"/>
        <v>0</v>
      </c>
      <c r="AG24" s="56">
        <f t="shared" si="8"/>
        <v>0</v>
      </c>
      <c r="AH24" s="89">
        <f t="shared" si="9"/>
        <v>219.39310229205779</v>
      </c>
      <c r="AI24" s="90" t="e">
        <f>VLOOKUP(Q24,Dados!$T$4:$U$19,2,FALSE)</f>
        <v>#N/A</v>
      </c>
      <c r="AJ24" s="91">
        <v>1</v>
      </c>
    </row>
    <row r="25" spans="1:36" customFormat="1">
      <c r="A25" s="52" t="s">
        <v>134</v>
      </c>
      <c r="B25" s="52"/>
      <c r="C25" s="52"/>
      <c r="D25" s="52"/>
      <c r="E25" s="53"/>
      <c r="F25" s="53"/>
      <c r="G25" s="53" t="s">
        <v>137</v>
      </c>
      <c r="H25" s="53"/>
      <c r="I25" s="54"/>
      <c r="J25" s="55">
        <f t="shared" si="0"/>
        <v>0</v>
      </c>
      <c r="K25" s="56">
        <v>0.92</v>
      </c>
      <c r="L25" s="57">
        <f t="shared" si="1"/>
        <v>0</v>
      </c>
      <c r="M25" s="57">
        <f t="shared" si="2"/>
        <v>0</v>
      </c>
      <c r="N25" s="57">
        <f t="shared" si="3"/>
        <v>0</v>
      </c>
      <c r="O25" s="56"/>
      <c r="P25" s="56" t="s">
        <v>138</v>
      </c>
      <c r="Q25" s="56" t="e">
        <f>IF(R25="PVC",VLOOKUP(O25,Dados!C$3:D$19,2),IF(R25="EPR",VLOOKUP(O25,Dados!C$22:D$38,2)))</f>
        <v>#N/A</v>
      </c>
      <c r="R25" s="56" t="s">
        <v>139</v>
      </c>
      <c r="S25" s="51">
        <f t="shared" si="10"/>
        <v>0</v>
      </c>
      <c r="T25" s="56" t="e">
        <f>IF(R25="PVC",VLOOKUP(Q25,Dados!L$3:M$18,2),IF(R25="EPR",VLOOKUP(Q25,Dados!L$3:N$18,3)))</f>
        <v>#N/A</v>
      </c>
      <c r="U25" s="143" t="s">
        <v>140</v>
      </c>
      <c r="V25" s="62"/>
      <c r="W25" s="145"/>
      <c r="X25" s="140"/>
      <c r="Y25" s="137"/>
      <c r="Z25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5" s="63"/>
      <c r="AB25" s="101" t="e">
        <f t="shared" si="4"/>
        <v>#N/A</v>
      </c>
      <c r="AC25" s="60">
        <v>1</v>
      </c>
      <c r="AD25" s="51">
        <f t="shared" si="5"/>
        <v>0</v>
      </c>
      <c r="AE25" s="56">
        <f t="shared" si="6"/>
        <v>0</v>
      </c>
      <c r="AF25" s="56">
        <f t="shared" si="7"/>
        <v>0</v>
      </c>
      <c r="AG25" s="56">
        <f t="shared" si="8"/>
        <v>0</v>
      </c>
      <c r="AH25" s="89">
        <f t="shared" si="9"/>
        <v>219.39310229205779</v>
      </c>
      <c r="AI25" s="90" t="e">
        <f>VLOOKUP(Q25,Dados!$T$4:$U$19,2,FALSE)</f>
        <v>#N/A</v>
      </c>
      <c r="AJ25" s="91">
        <v>1</v>
      </c>
    </row>
    <row r="26" spans="1:36" customFormat="1">
      <c r="A26" s="61"/>
      <c r="B26" s="52" t="s">
        <v>134</v>
      </c>
      <c r="C26" s="52"/>
      <c r="D26" s="52"/>
      <c r="E26" s="53"/>
      <c r="F26" s="53"/>
      <c r="G26" s="53" t="s">
        <v>137</v>
      </c>
      <c r="H26" s="53"/>
      <c r="I26" s="54"/>
      <c r="J26" s="55">
        <f t="shared" si="0"/>
        <v>0</v>
      </c>
      <c r="K26" s="56">
        <v>0.92</v>
      </c>
      <c r="L26" s="57">
        <f t="shared" si="1"/>
        <v>0</v>
      </c>
      <c r="M26" s="57">
        <f t="shared" si="2"/>
        <v>0</v>
      </c>
      <c r="N26" s="57">
        <f t="shared" si="3"/>
        <v>0</v>
      </c>
      <c r="O26" s="56"/>
      <c r="P26" s="56" t="s">
        <v>138</v>
      </c>
      <c r="Q26" s="56" t="e">
        <f>IF(R26="PVC",VLOOKUP(O26,Dados!C$3:D$19,2),IF(R26="EPR",VLOOKUP(O26,Dados!C$22:D$38,2)))</f>
        <v>#N/A</v>
      </c>
      <c r="R26" s="56" t="s">
        <v>139</v>
      </c>
      <c r="S26" s="51">
        <f t="shared" si="10"/>
        <v>0</v>
      </c>
      <c r="T26" s="56" t="e">
        <f>IF(R26="PVC",VLOOKUP(Q26,Dados!L$3:M$18,2),IF(R26="EPR",VLOOKUP(Q26,Dados!L$3:N$18,3)))</f>
        <v>#N/A</v>
      </c>
      <c r="U26" s="143" t="s">
        <v>140</v>
      </c>
      <c r="V26" s="62"/>
      <c r="W26" s="145"/>
      <c r="X26" s="140"/>
      <c r="Y26" s="137"/>
      <c r="Z26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6" s="63"/>
      <c r="AB26" s="101" t="e">
        <f t="shared" si="4"/>
        <v>#N/A</v>
      </c>
      <c r="AC26" s="60">
        <v>1</v>
      </c>
      <c r="AD26" s="51">
        <f t="shared" si="5"/>
        <v>0</v>
      </c>
      <c r="AE26" s="56">
        <f t="shared" si="6"/>
        <v>0</v>
      </c>
      <c r="AF26" s="56">
        <f t="shared" si="7"/>
        <v>0</v>
      </c>
      <c r="AG26" s="56">
        <f t="shared" si="8"/>
        <v>0</v>
      </c>
      <c r="AH26" s="89">
        <f t="shared" si="9"/>
        <v>219.39310229205779</v>
      </c>
      <c r="AI26" s="90" t="e">
        <f>VLOOKUP(Q26,Dados!$T$4:$U$19,2,FALSE)</f>
        <v>#N/A</v>
      </c>
      <c r="AJ26" s="91">
        <v>1</v>
      </c>
    </row>
    <row r="27" spans="1:36" customFormat="1">
      <c r="A27" s="52"/>
      <c r="B27" s="52"/>
      <c r="C27" s="52" t="s">
        <v>134</v>
      </c>
      <c r="D27" s="52"/>
      <c r="E27" s="53"/>
      <c r="F27" s="53"/>
      <c r="G27" s="53" t="s">
        <v>137</v>
      </c>
      <c r="H27" s="53"/>
      <c r="I27" s="54"/>
      <c r="J27" s="55">
        <f t="shared" si="0"/>
        <v>0</v>
      </c>
      <c r="K27" s="56">
        <v>0.92</v>
      </c>
      <c r="L27" s="57">
        <f t="shared" si="1"/>
        <v>0</v>
      </c>
      <c r="M27" s="57">
        <f t="shared" si="2"/>
        <v>0</v>
      </c>
      <c r="N27" s="57">
        <f t="shared" si="3"/>
        <v>0</v>
      </c>
      <c r="O27" s="56"/>
      <c r="P27" s="56" t="s">
        <v>138</v>
      </c>
      <c r="Q27" s="56" t="e">
        <f>IF(R27="PVC",VLOOKUP(O27,Dados!C$3:D$19,2),IF(R27="EPR",VLOOKUP(O27,Dados!C$22:D$38,2)))</f>
        <v>#N/A</v>
      </c>
      <c r="R27" s="56" t="s">
        <v>139</v>
      </c>
      <c r="S27" s="51">
        <f t="shared" si="10"/>
        <v>0</v>
      </c>
      <c r="T27" s="56" t="e">
        <f>IF(R27="PVC",VLOOKUP(Q27,Dados!L$3:M$18,2),IF(R27="EPR",VLOOKUP(Q27,Dados!L$3:N$18,3)))</f>
        <v>#N/A</v>
      </c>
      <c r="U27" s="143" t="s">
        <v>140</v>
      </c>
      <c r="V27" s="62"/>
      <c r="W27" s="145"/>
      <c r="X27" s="140"/>
      <c r="Y27" s="137"/>
      <c r="Z27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7" s="63"/>
      <c r="AB27" s="101" t="e">
        <f t="shared" si="4"/>
        <v>#N/A</v>
      </c>
      <c r="AC27" s="60">
        <v>1</v>
      </c>
      <c r="AD27" s="51">
        <f t="shared" si="5"/>
        <v>0</v>
      </c>
      <c r="AE27" s="56">
        <f t="shared" si="6"/>
        <v>0</v>
      </c>
      <c r="AF27" s="56">
        <f t="shared" si="7"/>
        <v>0</v>
      </c>
      <c r="AG27" s="56">
        <f t="shared" si="8"/>
        <v>0</v>
      </c>
      <c r="AH27" s="89">
        <f t="shared" si="9"/>
        <v>219.39310229205779</v>
      </c>
      <c r="AI27" s="90" t="e">
        <f>VLOOKUP(Q27,Dados!$T$4:$U$19,2,FALSE)</f>
        <v>#N/A</v>
      </c>
      <c r="AJ27" s="91">
        <v>1</v>
      </c>
    </row>
    <row r="28" spans="1:36" customFormat="1">
      <c r="A28" s="61" t="s">
        <v>134</v>
      </c>
      <c r="B28" s="52"/>
      <c r="C28" s="52"/>
      <c r="D28" s="52"/>
      <c r="E28" s="53"/>
      <c r="F28" s="53"/>
      <c r="G28" s="53" t="s">
        <v>137</v>
      </c>
      <c r="H28" s="53"/>
      <c r="I28" s="54"/>
      <c r="J28" s="55">
        <f t="shared" si="0"/>
        <v>0</v>
      </c>
      <c r="K28" s="56">
        <v>0.92</v>
      </c>
      <c r="L28" s="57">
        <f t="shared" si="1"/>
        <v>0</v>
      </c>
      <c r="M28" s="57">
        <f t="shared" si="2"/>
        <v>0</v>
      </c>
      <c r="N28" s="57">
        <f t="shared" si="3"/>
        <v>0</v>
      </c>
      <c r="O28" s="56"/>
      <c r="P28" s="56" t="s">
        <v>138</v>
      </c>
      <c r="Q28" s="56" t="e">
        <f>IF(R28="PVC",VLOOKUP(O28,Dados!C$3:D$19,2),IF(R28="EPR",VLOOKUP(O28,Dados!C$22:D$38,2)))</f>
        <v>#N/A</v>
      </c>
      <c r="R28" s="56" t="s">
        <v>139</v>
      </c>
      <c r="S28" s="51">
        <f t="shared" si="10"/>
        <v>0</v>
      </c>
      <c r="T28" s="56" t="e">
        <f>IF(R28="PVC",VLOOKUP(Q28,Dados!L$3:M$18,2),IF(R28="EPR",VLOOKUP(Q28,Dados!L$3:N$18,3)))</f>
        <v>#N/A</v>
      </c>
      <c r="U28" s="143" t="s">
        <v>140</v>
      </c>
      <c r="V28" s="62"/>
      <c r="W28" s="145"/>
      <c r="X28" s="140"/>
      <c r="Y28" s="137"/>
      <c r="Z28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8" s="63"/>
      <c r="AB28" s="101" t="e">
        <f t="shared" si="4"/>
        <v>#N/A</v>
      </c>
      <c r="AC28" s="60">
        <v>1</v>
      </c>
      <c r="AD28" s="51">
        <f t="shared" si="5"/>
        <v>0</v>
      </c>
      <c r="AE28" s="56">
        <f t="shared" si="6"/>
        <v>0</v>
      </c>
      <c r="AF28" s="56">
        <f t="shared" si="7"/>
        <v>0</v>
      </c>
      <c r="AG28" s="56">
        <f t="shared" si="8"/>
        <v>0</v>
      </c>
      <c r="AH28" s="89">
        <f t="shared" si="9"/>
        <v>219.39310229205779</v>
      </c>
      <c r="AI28" s="90" t="e">
        <f>VLOOKUP(Q28,Dados!$T$4:$U$19,2,FALSE)</f>
        <v>#N/A</v>
      </c>
      <c r="AJ28" s="91">
        <v>1</v>
      </c>
    </row>
    <row r="29" spans="1:36" customFormat="1">
      <c r="A29" s="52"/>
      <c r="B29" s="52" t="s">
        <v>134</v>
      </c>
      <c r="C29" s="52"/>
      <c r="D29" s="52"/>
      <c r="E29" s="53"/>
      <c r="F29" s="53"/>
      <c r="G29" s="53" t="s">
        <v>137</v>
      </c>
      <c r="H29" s="53"/>
      <c r="I29" s="54"/>
      <c r="J29" s="55">
        <f t="shared" si="0"/>
        <v>0</v>
      </c>
      <c r="K29" s="56">
        <v>0.92</v>
      </c>
      <c r="L29" s="57">
        <f t="shared" si="1"/>
        <v>0</v>
      </c>
      <c r="M29" s="57">
        <f t="shared" si="2"/>
        <v>0</v>
      </c>
      <c r="N29" s="57">
        <f t="shared" si="3"/>
        <v>0</v>
      </c>
      <c r="O29" s="56"/>
      <c r="P29" s="56" t="s">
        <v>138</v>
      </c>
      <c r="Q29" s="56" t="e">
        <f>IF(R29="PVC",VLOOKUP(O29,Dados!C$3:D$19,2),IF(R29="EPR",VLOOKUP(O29,Dados!C$22:D$38,2)))</f>
        <v>#N/A</v>
      </c>
      <c r="R29" s="56" t="s">
        <v>139</v>
      </c>
      <c r="S29" s="51">
        <f t="shared" si="10"/>
        <v>0</v>
      </c>
      <c r="T29" s="56" t="e">
        <f>IF(R29="PVC",VLOOKUP(Q29,Dados!L$3:M$18,2),IF(R29="EPR",VLOOKUP(Q29,Dados!L$3:N$18,3)))</f>
        <v>#N/A</v>
      </c>
      <c r="U29" s="143" t="s">
        <v>140</v>
      </c>
      <c r="V29" s="62"/>
      <c r="W29" s="145"/>
      <c r="X29" s="140"/>
      <c r="Y29" s="137"/>
      <c r="Z29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29" s="63"/>
      <c r="AB29" s="101" t="e">
        <f t="shared" si="4"/>
        <v>#N/A</v>
      </c>
      <c r="AC29" s="60">
        <v>1</v>
      </c>
      <c r="AD29" s="51">
        <f t="shared" si="5"/>
        <v>0</v>
      </c>
      <c r="AE29" s="56">
        <f t="shared" si="6"/>
        <v>0</v>
      </c>
      <c r="AF29" s="56">
        <f t="shared" si="7"/>
        <v>0</v>
      </c>
      <c r="AG29" s="56">
        <f t="shared" si="8"/>
        <v>0</v>
      </c>
      <c r="AH29" s="89">
        <f t="shared" si="9"/>
        <v>219.39310229205779</v>
      </c>
      <c r="AI29" s="90" t="e">
        <f>VLOOKUP(Q29,Dados!$T$4:$U$19,2,FALSE)</f>
        <v>#N/A</v>
      </c>
      <c r="AJ29" s="91">
        <v>1</v>
      </c>
    </row>
    <row r="30" spans="1:36" customFormat="1">
      <c r="A30" s="52"/>
      <c r="B30" s="52"/>
      <c r="C30" s="52" t="s">
        <v>134</v>
      </c>
      <c r="D30" s="52"/>
      <c r="E30" s="53"/>
      <c r="F30" s="53"/>
      <c r="G30" s="53" t="s">
        <v>137</v>
      </c>
      <c r="H30" s="53"/>
      <c r="I30" s="54"/>
      <c r="J30" s="55">
        <f t="shared" si="0"/>
        <v>0</v>
      </c>
      <c r="K30" s="56">
        <v>0.92</v>
      </c>
      <c r="L30" s="57">
        <f t="shared" si="1"/>
        <v>0</v>
      </c>
      <c r="M30" s="57">
        <f t="shared" si="2"/>
        <v>0</v>
      </c>
      <c r="N30" s="57">
        <f t="shared" si="3"/>
        <v>0</v>
      </c>
      <c r="O30" s="56"/>
      <c r="P30" s="56" t="s">
        <v>138</v>
      </c>
      <c r="Q30" s="56" t="e">
        <f>IF(R30="PVC",VLOOKUP(O30,Dados!C$3:D$19,2),IF(R30="EPR",VLOOKUP(O30,Dados!C$22:D$38,2)))</f>
        <v>#N/A</v>
      </c>
      <c r="R30" s="56" t="s">
        <v>139</v>
      </c>
      <c r="S30" s="51">
        <f t="shared" si="10"/>
        <v>0</v>
      </c>
      <c r="T30" s="56" t="e">
        <f>IF(R30="PVC",VLOOKUP(Q30,Dados!L$3:M$18,2),IF(R30="EPR",VLOOKUP(Q30,Dados!L$3:N$18,3)))</f>
        <v>#N/A</v>
      </c>
      <c r="U30" s="143" t="s">
        <v>140</v>
      </c>
      <c r="V30" s="62"/>
      <c r="W30" s="145"/>
      <c r="X30" s="140"/>
      <c r="Y30" s="137"/>
      <c r="Z30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0" s="63"/>
      <c r="AB30" s="101" t="e">
        <f t="shared" si="4"/>
        <v>#N/A</v>
      </c>
      <c r="AC30" s="60">
        <v>1</v>
      </c>
      <c r="AD30" s="51">
        <f t="shared" si="5"/>
        <v>0</v>
      </c>
      <c r="AE30" s="56">
        <f t="shared" si="6"/>
        <v>0</v>
      </c>
      <c r="AF30" s="56">
        <f t="shared" si="7"/>
        <v>0</v>
      </c>
      <c r="AG30" s="56">
        <f t="shared" si="8"/>
        <v>0</v>
      </c>
      <c r="AH30" s="89">
        <f t="shared" si="9"/>
        <v>219.39310229205779</v>
      </c>
      <c r="AI30" s="90" t="e">
        <f>VLOOKUP(Q30,Dados!$T$4:$U$19,2,FALSE)</f>
        <v>#N/A</v>
      </c>
      <c r="AJ30" s="91">
        <v>1</v>
      </c>
    </row>
    <row r="31" spans="1:36" customFormat="1">
      <c r="A31" s="52" t="s">
        <v>134</v>
      </c>
      <c r="B31" s="52"/>
      <c r="C31" s="52"/>
      <c r="D31" s="52"/>
      <c r="E31" s="53"/>
      <c r="F31" s="53"/>
      <c r="G31" s="53" t="s">
        <v>137</v>
      </c>
      <c r="H31" s="53"/>
      <c r="I31" s="54"/>
      <c r="J31" s="55">
        <f t="shared" si="0"/>
        <v>0</v>
      </c>
      <c r="K31" s="56">
        <v>0.92</v>
      </c>
      <c r="L31" s="57">
        <f t="shared" si="1"/>
        <v>0</v>
      </c>
      <c r="M31" s="57">
        <f t="shared" si="2"/>
        <v>0</v>
      </c>
      <c r="N31" s="57">
        <f t="shared" si="3"/>
        <v>0</v>
      </c>
      <c r="O31" s="56"/>
      <c r="P31" s="56" t="s">
        <v>138</v>
      </c>
      <c r="Q31" s="56" t="e">
        <f>IF(R31="PVC",VLOOKUP(O31,Dados!C$3:D$19,2),IF(R31="EPR",VLOOKUP(O31,Dados!C$22:D$38,2)))</f>
        <v>#N/A</v>
      </c>
      <c r="R31" s="56" t="s">
        <v>139</v>
      </c>
      <c r="S31" s="51">
        <f t="shared" si="10"/>
        <v>0</v>
      </c>
      <c r="T31" s="56" t="e">
        <f>IF(R31="PVC",VLOOKUP(Q31,Dados!L$3:M$18,2),IF(R31="EPR",VLOOKUP(Q31,Dados!L$3:N$18,3)))</f>
        <v>#N/A</v>
      </c>
      <c r="U31" s="143" t="s">
        <v>140</v>
      </c>
      <c r="V31" s="62"/>
      <c r="W31" s="145"/>
      <c r="X31" s="140"/>
      <c r="Y31" s="137"/>
      <c r="Z31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1" s="63"/>
      <c r="AB31" s="101" t="e">
        <f t="shared" si="4"/>
        <v>#N/A</v>
      </c>
      <c r="AC31" s="60">
        <v>1</v>
      </c>
      <c r="AD31" s="51">
        <f t="shared" si="5"/>
        <v>0</v>
      </c>
      <c r="AE31" s="56">
        <f t="shared" si="6"/>
        <v>0</v>
      </c>
      <c r="AF31" s="56">
        <f t="shared" si="7"/>
        <v>0</v>
      </c>
      <c r="AG31" s="56">
        <f t="shared" si="8"/>
        <v>0</v>
      </c>
      <c r="AH31" s="89">
        <f t="shared" si="9"/>
        <v>219.39310229205779</v>
      </c>
      <c r="AI31" s="90" t="e">
        <f>VLOOKUP(Q31,Dados!$T$4:$U$19,2,FALSE)</f>
        <v>#N/A</v>
      </c>
      <c r="AJ31" s="91">
        <v>1</v>
      </c>
    </row>
    <row r="32" spans="1:36" customFormat="1">
      <c r="A32" s="61"/>
      <c r="B32" s="52" t="s">
        <v>134</v>
      </c>
      <c r="C32" s="52"/>
      <c r="D32" s="52"/>
      <c r="E32" s="53"/>
      <c r="F32" s="53"/>
      <c r="G32" s="53" t="s">
        <v>137</v>
      </c>
      <c r="H32" s="53"/>
      <c r="I32" s="54"/>
      <c r="J32" s="55">
        <f t="shared" si="0"/>
        <v>0</v>
      </c>
      <c r="K32" s="56">
        <v>0.92</v>
      </c>
      <c r="L32" s="57">
        <f t="shared" si="1"/>
        <v>0</v>
      </c>
      <c r="M32" s="57">
        <f t="shared" si="2"/>
        <v>0</v>
      </c>
      <c r="N32" s="57">
        <f t="shared" si="3"/>
        <v>0</v>
      </c>
      <c r="O32" s="56"/>
      <c r="P32" s="56" t="s">
        <v>138</v>
      </c>
      <c r="Q32" s="56" t="e">
        <f>IF(R32="PVC",VLOOKUP(O32,Dados!C$3:D$19,2),IF(R32="EPR",VLOOKUP(O32,Dados!C$22:D$38,2)))</f>
        <v>#N/A</v>
      </c>
      <c r="R32" s="56" t="s">
        <v>139</v>
      </c>
      <c r="S32" s="51">
        <f t="shared" si="10"/>
        <v>0</v>
      </c>
      <c r="T32" s="56" t="e">
        <f>IF(R32="PVC",VLOOKUP(Q32,Dados!L$3:M$18,2),IF(R32="EPR",VLOOKUP(Q32,Dados!L$3:N$18,3)))</f>
        <v>#N/A</v>
      </c>
      <c r="U32" s="143" t="s">
        <v>140</v>
      </c>
      <c r="V32" s="62"/>
      <c r="W32" s="145"/>
      <c r="X32" s="140"/>
      <c r="Y32" s="137"/>
      <c r="Z32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2" s="63"/>
      <c r="AB32" s="101" t="e">
        <f t="shared" si="4"/>
        <v>#N/A</v>
      </c>
      <c r="AC32" s="60">
        <v>1</v>
      </c>
      <c r="AD32" s="51">
        <f t="shared" si="5"/>
        <v>0</v>
      </c>
      <c r="AE32" s="56">
        <f t="shared" si="6"/>
        <v>0</v>
      </c>
      <c r="AF32" s="56">
        <f t="shared" si="7"/>
        <v>0</v>
      </c>
      <c r="AG32" s="56">
        <f t="shared" si="8"/>
        <v>0</v>
      </c>
      <c r="AH32" s="89">
        <f t="shared" si="9"/>
        <v>219.39310229205779</v>
      </c>
      <c r="AI32" s="90" t="e">
        <f>VLOOKUP(Q32,Dados!$T$4:$U$19,2,FALSE)</f>
        <v>#N/A</v>
      </c>
      <c r="AJ32" s="91">
        <v>1</v>
      </c>
    </row>
    <row r="33" spans="1:36" customFormat="1">
      <c r="A33" s="52"/>
      <c r="B33" s="52"/>
      <c r="C33" s="52" t="s">
        <v>134</v>
      </c>
      <c r="D33" s="52"/>
      <c r="E33" s="53"/>
      <c r="F33" s="53"/>
      <c r="G33" s="53" t="s">
        <v>137</v>
      </c>
      <c r="H33" s="53"/>
      <c r="I33" s="54"/>
      <c r="J33" s="55">
        <f t="shared" si="0"/>
        <v>0</v>
      </c>
      <c r="K33" s="56">
        <v>0.92</v>
      </c>
      <c r="L33" s="57">
        <f t="shared" si="1"/>
        <v>0</v>
      </c>
      <c r="M33" s="57">
        <f t="shared" si="2"/>
        <v>0</v>
      </c>
      <c r="N33" s="57">
        <f t="shared" si="3"/>
        <v>0</v>
      </c>
      <c r="O33" s="56"/>
      <c r="P33" s="56" t="s">
        <v>138</v>
      </c>
      <c r="Q33" s="56" t="e">
        <f>IF(R33="PVC",VLOOKUP(O33,Dados!C$3:D$19,2),IF(R33="EPR",VLOOKUP(O33,Dados!C$22:D$38,2)))</f>
        <v>#N/A</v>
      </c>
      <c r="R33" s="56" t="s">
        <v>139</v>
      </c>
      <c r="S33" s="51">
        <f t="shared" si="10"/>
        <v>0</v>
      </c>
      <c r="T33" s="56" t="e">
        <f>IF(R33="PVC",VLOOKUP(Q33,Dados!L$3:M$18,2),IF(R33="EPR",VLOOKUP(Q33,Dados!L$3:N$18,3)))</f>
        <v>#N/A</v>
      </c>
      <c r="U33" s="143" t="s">
        <v>140</v>
      </c>
      <c r="V33" s="62"/>
      <c r="W33" s="145"/>
      <c r="X33" s="140"/>
      <c r="Y33" s="137"/>
      <c r="Z33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3" s="63"/>
      <c r="AB33" s="101" t="e">
        <f t="shared" si="4"/>
        <v>#N/A</v>
      </c>
      <c r="AC33" s="60">
        <v>1</v>
      </c>
      <c r="AD33" s="51">
        <f t="shared" si="5"/>
        <v>0</v>
      </c>
      <c r="AE33" s="56">
        <f t="shared" si="6"/>
        <v>0</v>
      </c>
      <c r="AF33" s="56">
        <f t="shared" si="7"/>
        <v>0</v>
      </c>
      <c r="AG33" s="56">
        <f t="shared" si="8"/>
        <v>0</v>
      </c>
      <c r="AH33" s="89">
        <f t="shared" si="9"/>
        <v>219.39310229205779</v>
      </c>
      <c r="AI33" s="90" t="e">
        <f>VLOOKUP(Q33,Dados!$T$4:$U$19,2,FALSE)</f>
        <v>#N/A</v>
      </c>
      <c r="AJ33" s="91">
        <v>1</v>
      </c>
    </row>
    <row r="34" spans="1:36" customFormat="1">
      <c r="A34" s="61" t="s">
        <v>134</v>
      </c>
      <c r="B34" s="52"/>
      <c r="C34" s="52"/>
      <c r="D34" s="52"/>
      <c r="E34" s="53"/>
      <c r="F34" s="53"/>
      <c r="G34" s="53" t="s">
        <v>137</v>
      </c>
      <c r="H34" s="53"/>
      <c r="I34" s="54"/>
      <c r="J34" s="55">
        <f t="shared" si="0"/>
        <v>0</v>
      </c>
      <c r="K34" s="56">
        <v>0.92</v>
      </c>
      <c r="L34" s="57">
        <f t="shared" si="1"/>
        <v>0</v>
      </c>
      <c r="M34" s="57">
        <f t="shared" si="2"/>
        <v>0</v>
      </c>
      <c r="N34" s="57">
        <f t="shared" si="3"/>
        <v>0</v>
      </c>
      <c r="O34" s="56"/>
      <c r="P34" s="56" t="s">
        <v>138</v>
      </c>
      <c r="Q34" s="56" t="e">
        <f>IF(R34="PVC",VLOOKUP(O34,Dados!C$3:D$19,2),IF(R34="EPR",VLOOKUP(O34,Dados!C$22:D$38,2)))</f>
        <v>#N/A</v>
      </c>
      <c r="R34" s="56" t="s">
        <v>139</v>
      </c>
      <c r="S34" s="51">
        <f t="shared" si="10"/>
        <v>0</v>
      </c>
      <c r="T34" s="56" t="e">
        <f>IF(R34="PVC",VLOOKUP(Q34,Dados!L$3:M$18,2),IF(R34="EPR",VLOOKUP(Q34,Dados!L$3:N$18,3)))</f>
        <v>#N/A</v>
      </c>
      <c r="U34" s="143" t="s">
        <v>140</v>
      </c>
      <c r="V34" s="62"/>
      <c r="W34" s="145"/>
      <c r="X34" s="140"/>
      <c r="Y34" s="137"/>
      <c r="Z34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4" s="63"/>
      <c r="AB34" s="101" t="e">
        <f t="shared" si="4"/>
        <v>#N/A</v>
      </c>
      <c r="AC34" s="60">
        <v>1</v>
      </c>
      <c r="AD34" s="51">
        <f t="shared" si="5"/>
        <v>0</v>
      </c>
      <c r="AE34" s="56">
        <f t="shared" si="6"/>
        <v>0</v>
      </c>
      <c r="AF34" s="56">
        <f t="shared" si="7"/>
        <v>0</v>
      </c>
      <c r="AG34" s="56">
        <f t="shared" si="8"/>
        <v>0</v>
      </c>
      <c r="AH34" s="89">
        <f t="shared" si="9"/>
        <v>219.39310229205779</v>
      </c>
      <c r="AI34" s="90" t="e">
        <f>VLOOKUP(Q34,Dados!$T$4:$U$19,2,FALSE)</f>
        <v>#N/A</v>
      </c>
      <c r="AJ34" s="91">
        <v>1</v>
      </c>
    </row>
    <row r="35" spans="1:36" customFormat="1">
      <c r="A35" s="52"/>
      <c r="B35" s="52" t="s">
        <v>134</v>
      </c>
      <c r="C35" s="52"/>
      <c r="D35" s="52"/>
      <c r="E35" s="53"/>
      <c r="F35" s="53"/>
      <c r="G35" s="53" t="s">
        <v>137</v>
      </c>
      <c r="H35" s="53"/>
      <c r="I35" s="54"/>
      <c r="J35" s="55">
        <f t="shared" si="0"/>
        <v>0</v>
      </c>
      <c r="K35" s="56">
        <v>0.92</v>
      </c>
      <c r="L35" s="57">
        <f t="shared" si="1"/>
        <v>0</v>
      </c>
      <c r="M35" s="57">
        <f t="shared" si="2"/>
        <v>0</v>
      </c>
      <c r="N35" s="57">
        <f t="shared" si="3"/>
        <v>0</v>
      </c>
      <c r="O35" s="56"/>
      <c r="P35" s="56" t="s">
        <v>138</v>
      </c>
      <c r="Q35" s="56" t="e">
        <f>IF(R35="PVC",VLOOKUP(O35,Dados!C$3:D$19,2),IF(R35="EPR",VLOOKUP(O35,Dados!C$22:D$38,2)))</f>
        <v>#N/A</v>
      </c>
      <c r="R35" s="56" t="s">
        <v>139</v>
      </c>
      <c r="S35" s="51">
        <f t="shared" si="10"/>
        <v>0</v>
      </c>
      <c r="T35" s="56" t="e">
        <f>IF(R35="PVC",VLOOKUP(Q35,Dados!L$3:M$18,2),IF(R35="EPR",VLOOKUP(Q35,Dados!L$3:N$18,3)))</f>
        <v>#N/A</v>
      </c>
      <c r="U35" s="143" t="s">
        <v>140</v>
      </c>
      <c r="V35" s="62"/>
      <c r="W35" s="145"/>
      <c r="X35" s="140"/>
      <c r="Y35" s="137"/>
      <c r="Z35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5" s="63"/>
      <c r="AB35" s="101" t="e">
        <f t="shared" si="4"/>
        <v>#N/A</v>
      </c>
      <c r="AC35" s="60">
        <v>1</v>
      </c>
      <c r="AD35" s="51">
        <f t="shared" si="5"/>
        <v>0</v>
      </c>
      <c r="AE35" s="56">
        <f t="shared" si="6"/>
        <v>0</v>
      </c>
      <c r="AF35" s="56">
        <f t="shared" si="7"/>
        <v>0</v>
      </c>
      <c r="AG35" s="56">
        <f t="shared" si="8"/>
        <v>0</v>
      </c>
      <c r="AH35" s="89">
        <f t="shared" si="9"/>
        <v>219.39310229205779</v>
      </c>
      <c r="AI35" s="90" t="e">
        <f>VLOOKUP(Q35,Dados!$T$4:$U$19,2,FALSE)</f>
        <v>#N/A</v>
      </c>
      <c r="AJ35" s="91">
        <v>1</v>
      </c>
    </row>
    <row r="36" spans="1:36" customFormat="1">
      <c r="A36" s="52"/>
      <c r="B36" s="52"/>
      <c r="C36" s="52" t="s">
        <v>134</v>
      </c>
      <c r="D36" s="52"/>
      <c r="E36" s="53"/>
      <c r="F36" s="53"/>
      <c r="G36" s="53" t="s">
        <v>137</v>
      </c>
      <c r="H36" s="53"/>
      <c r="I36" s="54"/>
      <c r="J36" s="55">
        <f t="shared" si="0"/>
        <v>0</v>
      </c>
      <c r="K36" s="56">
        <v>0.92</v>
      </c>
      <c r="L36" s="57">
        <f t="shared" si="1"/>
        <v>0</v>
      </c>
      <c r="M36" s="57">
        <f t="shared" si="2"/>
        <v>0</v>
      </c>
      <c r="N36" s="57">
        <f t="shared" si="3"/>
        <v>0</v>
      </c>
      <c r="O36" s="56"/>
      <c r="P36" s="56" t="s">
        <v>138</v>
      </c>
      <c r="Q36" s="56" t="e">
        <f>IF(R36="PVC",VLOOKUP(O36,Dados!C$3:D$19,2),IF(R36="EPR",VLOOKUP(O36,Dados!C$22:D$38,2)))</f>
        <v>#N/A</v>
      </c>
      <c r="R36" s="56" t="s">
        <v>139</v>
      </c>
      <c r="S36" s="51">
        <f t="shared" si="10"/>
        <v>0</v>
      </c>
      <c r="T36" s="56" t="e">
        <f>IF(R36="PVC",VLOOKUP(Q36,Dados!L$3:M$18,2),IF(R36="EPR",VLOOKUP(Q36,Dados!L$3:N$18,3)))</f>
        <v>#N/A</v>
      </c>
      <c r="U36" s="143" t="s">
        <v>140</v>
      </c>
      <c r="V36" s="62"/>
      <c r="W36" s="145"/>
      <c r="X36" s="140"/>
      <c r="Y36" s="137"/>
      <c r="Z36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6" s="63"/>
      <c r="AB36" s="101" t="e">
        <f t="shared" si="4"/>
        <v>#N/A</v>
      </c>
      <c r="AC36" s="60">
        <v>1</v>
      </c>
      <c r="AD36" s="51">
        <f t="shared" si="5"/>
        <v>0</v>
      </c>
      <c r="AE36" s="56">
        <f t="shared" si="6"/>
        <v>0</v>
      </c>
      <c r="AF36" s="56">
        <f t="shared" si="7"/>
        <v>0</v>
      </c>
      <c r="AG36" s="56">
        <f t="shared" si="8"/>
        <v>0</v>
      </c>
      <c r="AH36" s="89">
        <f t="shared" si="9"/>
        <v>219.39310229205779</v>
      </c>
      <c r="AI36" s="90" t="e">
        <f>VLOOKUP(Q36,Dados!$T$4:$U$19,2,FALSE)</f>
        <v>#N/A</v>
      </c>
      <c r="AJ36" s="91">
        <v>1</v>
      </c>
    </row>
    <row r="37" spans="1:36" customFormat="1">
      <c r="A37" s="52" t="s">
        <v>134</v>
      </c>
      <c r="B37" s="52"/>
      <c r="C37" s="52"/>
      <c r="D37" s="52"/>
      <c r="E37" s="53"/>
      <c r="F37" s="53"/>
      <c r="G37" s="53" t="s">
        <v>137</v>
      </c>
      <c r="H37" s="53"/>
      <c r="I37" s="54"/>
      <c r="J37" s="55">
        <f t="shared" si="0"/>
        <v>0</v>
      </c>
      <c r="K37" s="56">
        <v>0.92</v>
      </c>
      <c r="L37" s="57">
        <f t="shared" si="1"/>
        <v>0</v>
      </c>
      <c r="M37" s="57">
        <f t="shared" si="2"/>
        <v>0</v>
      </c>
      <c r="N37" s="57">
        <f t="shared" si="3"/>
        <v>0</v>
      </c>
      <c r="O37" s="56"/>
      <c r="P37" s="56" t="s">
        <v>138</v>
      </c>
      <c r="Q37" s="56" t="e">
        <f>IF(R37="PVC",VLOOKUP(O37,Dados!C$3:D$19,2),IF(R37="EPR",VLOOKUP(O37,Dados!C$22:D$38,2)))</f>
        <v>#N/A</v>
      </c>
      <c r="R37" s="56" t="s">
        <v>139</v>
      </c>
      <c r="S37" s="51">
        <f t="shared" si="10"/>
        <v>0</v>
      </c>
      <c r="T37" s="56" t="e">
        <f>IF(R37="PVC",VLOOKUP(Q37,Dados!L$3:M$18,2),IF(R37="EPR",VLOOKUP(Q37,Dados!L$3:N$18,3)))</f>
        <v>#N/A</v>
      </c>
      <c r="U37" s="143" t="s">
        <v>140</v>
      </c>
      <c r="V37" s="62"/>
      <c r="W37" s="145"/>
      <c r="X37" s="140"/>
      <c r="Y37" s="137"/>
      <c r="Z37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7" s="63"/>
      <c r="AB37" s="101" t="e">
        <f t="shared" si="4"/>
        <v>#N/A</v>
      </c>
      <c r="AC37" s="60">
        <v>1</v>
      </c>
      <c r="AD37" s="51">
        <f t="shared" si="5"/>
        <v>0</v>
      </c>
      <c r="AE37" s="56">
        <f t="shared" si="6"/>
        <v>0</v>
      </c>
      <c r="AF37" s="56">
        <f t="shared" si="7"/>
        <v>0</v>
      </c>
      <c r="AG37" s="56">
        <f t="shared" si="8"/>
        <v>0</v>
      </c>
      <c r="AH37" s="89">
        <f t="shared" si="9"/>
        <v>219.39310229205779</v>
      </c>
      <c r="AI37" s="90" t="e">
        <f>VLOOKUP(Q37,Dados!$T$4:$U$19,2,FALSE)</f>
        <v>#N/A</v>
      </c>
      <c r="AJ37" s="91">
        <v>1</v>
      </c>
    </row>
    <row r="38" spans="1:36" customFormat="1">
      <c r="A38" s="61"/>
      <c r="B38" s="52" t="s">
        <v>134</v>
      </c>
      <c r="C38" s="52"/>
      <c r="D38" s="52"/>
      <c r="E38" s="53"/>
      <c r="F38" s="53"/>
      <c r="G38" s="53" t="s">
        <v>137</v>
      </c>
      <c r="H38" s="53"/>
      <c r="I38" s="54"/>
      <c r="J38" s="55">
        <f t="shared" si="0"/>
        <v>0</v>
      </c>
      <c r="K38" s="56">
        <v>0.92</v>
      </c>
      <c r="L38" s="57">
        <f t="shared" si="1"/>
        <v>0</v>
      </c>
      <c r="M38" s="57">
        <f t="shared" si="2"/>
        <v>0</v>
      </c>
      <c r="N38" s="57">
        <f t="shared" si="3"/>
        <v>0</v>
      </c>
      <c r="O38" s="56"/>
      <c r="P38" s="56" t="s">
        <v>138</v>
      </c>
      <c r="Q38" s="56" t="e">
        <f>IF(R38="PVC",VLOOKUP(O38,Dados!C$3:D$19,2),IF(R38="EPR",VLOOKUP(O38,Dados!C$22:D$38,2)))</f>
        <v>#N/A</v>
      </c>
      <c r="R38" s="56" t="s">
        <v>139</v>
      </c>
      <c r="S38" s="51">
        <f t="shared" si="10"/>
        <v>0</v>
      </c>
      <c r="T38" s="56" t="e">
        <f>IF(R38="PVC",VLOOKUP(Q38,Dados!L$3:M$18,2),IF(R38="EPR",VLOOKUP(Q38,Dados!L$3:N$18,3)))</f>
        <v>#N/A</v>
      </c>
      <c r="U38" s="143" t="s">
        <v>140</v>
      </c>
      <c r="V38" s="62"/>
      <c r="W38" s="145"/>
      <c r="X38" s="140"/>
      <c r="Y38" s="137"/>
      <c r="Z38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8" s="63"/>
      <c r="AB38" s="101" t="e">
        <f t="shared" si="4"/>
        <v>#N/A</v>
      </c>
      <c r="AC38" s="60">
        <v>1</v>
      </c>
      <c r="AD38" s="51">
        <f t="shared" si="5"/>
        <v>0</v>
      </c>
      <c r="AE38" s="56">
        <f t="shared" si="6"/>
        <v>0</v>
      </c>
      <c r="AF38" s="56">
        <f t="shared" si="7"/>
        <v>0</v>
      </c>
      <c r="AG38" s="56">
        <f t="shared" si="8"/>
        <v>0</v>
      </c>
      <c r="AH38" s="89">
        <f t="shared" si="9"/>
        <v>219.39310229205779</v>
      </c>
      <c r="AI38" s="90" t="e">
        <f>VLOOKUP(Q38,Dados!$T$4:$U$19,2,FALSE)</f>
        <v>#N/A</v>
      </c>
      <c r="AJ38" s="91">
        <v>1</v>
      </c>
    </row>
    <row r="39" spans="1:36" customFormat="1">
      <c r="A39" s="52"/>
      <c r="B39" s="52"/>
      <c r="C39" s="52" t="s">
        <v>134</v>
      </c>
      <c r="D39" s="52"/>
      <c r="E39" s="53"/>
      <c r="F39" s="53"/>
      <c r="G39" s="53" t="s">
        <v>137</v>
      </c>
      <c r="H39" s="53"/>
      <c r="I39" s="54"/>
      <c r="J39" s="55">
        <f t="shared" si="0"/>
        <v>0</v>
      </c>
      <c r="K39" s="56">
        <v>0.92</v>
      </c>
      <c r="L39" s="57">
        <f t="shared" si="1"/>
        <v>0</v>
      </c>
      <c r="M39" s="57">
        <f t="shared" si="2"/>
        <v>0</v>
      </c>
      <c r="N39" s="57">
        <f t="shared" si="3"/>
        <v>0</v>
      </c>
      <c r="O39" s="56"/>
      <c r="P39" s="56" t="s">
        <v>138</v>
      </c>
      <c r="Q39" s="56" t="e">
        <f>IF(R39="PVC",VLOOKUP(O39,Dados!C$3:D$19,2),IF(R39="EPR",VLOOKUP(O39,Dados!C$22:D$38,2)))</f>
        <v>#N/A</v>
      </c>
      <c r="R39" s="56" t="s">
        <v>139</v>
      </c>
      <c r="S39" s="51">
        <f t="shared" si="10"/>
        <v>0</v>
      </c>
      <c r="T39" s="56" t="e">
        <f>IF(R39="PVC",VLOOKUP(Q39,Dados!L$3:M$18,2),IF(R39="EPR",VLOOKUP(Q39,Dados!L$3:N$18,3)))</f>
        <v>#N/A</v>
      </c>
      <c r="U39" s="143" t="s">
        <v>140</v>
      </c>
      <c r="V39" s="62"/>
      <c r="W39" s="145"/>
      <c r="X39" s="140"/>
      <c r="Y39" s="137"/>
      <c r="Z39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39" s="63"/>
      <c r="AB39" s="101" t="e">
        <f t="shared" si="4"/>
        <v>#N/A</v>
      </c>
      <c r="AC39" s="60">
        <v>1</v>
      </c>
      <c r="AD39" s="51">
        <f t="shared" si="5"/>
        <v>0</v>
      </c>
      <c r="AE39" s="56">
        <f t="shared" si="6"/>
        <v>0</v>
      </c>
      <c r="AF39" s="56">
        <f t="shared" si="7"/>
        <v>0</v>
      </c>
      <c r="AG39" s="56">
        <f t="shared" si="8"/>
        <v>0</v>
      </c>
      <c r="AH39" s="89">
        <f t="shared" si="9"/>
        <v>219.39310229205779</v>
      </c>
      <c r="AI39" s="90" t="e">
        <f>VLOOKUP(Q39,Dados!$T$4:$U$19,2,FALSE)</f>
        <v>#N/A</v>
      </c>
      <c r="AJ39" s="91">
        <v>1</v>
      </c>
    </row>
    <row r="40" spans="1:36" customFormat="1">
      <c r="A40" s="61" t="s">
        <v>134</v>
      </c>
      <c r="B40" s="52"/>
      <c r="C40" s="52"/>
      <c r="D40" s="52"/>
      <c r="E40" s="53"/>
      <c r="F40" s="53"/>
      <c r="G40" s="53" t="s">
        <v>137</v>
      </c>
      <c r="H40" s="53"/>
      <c r="I40" s="54"/>
      <c r="J40" s="55">
        <f t="shared" si="0"/>
        <v>0</v>
      </c>
      <c r="K40" s="56">
        <v>0.92</v>
      </c>
      <c r="L40" s="57">
        <f t="shared" si="1"/>
        <v>0</v>
      </c>
      <c r="M40" s="57">
        <f t="shared" si="2"/>
        <v>0</v>
      </c>
      <c r="N40" s="57">
        <f t="shared" si="3"/>
        <v>0</v>
      </c>
      <c r="O40" s="56"/>
      <c r="P40" s="56" t="s">
        <v>138</v>
      </c>
      <c r="Q40" s="56" t="e">
        <f>IF(R40="PVC",VLOOKUP(O40,Dados!C$3:D$19,2),IF(R40="EPR",VLOOKUP(O40,Dados!C$22:D$38,2)))</f>
        <v>#N/A</v>
      </c>
      <c r="R40" s="56" t="s">
        <v>139</v>
      </c>
      <c r="S40" s="51">
        <f t="shared" si="10"/>
        <v>0</v>
      </c>
      <c r="T40" s="56" t="e">
        <f>IF(R40="PVC",VLOOKUP(Q40,Dados!L$3:M$18,2),IF(R40="EPR",VLOOKUP(Q40,Dados!L$3:N$18,3)))</f>
        <v>#N/A</v>
      </c>
      <c r="U40" s="143" t="s">
        <v>140</v>
      </c>
      <c r="V40" s="62"/>
      <c r="W40" s="145"/>
      <c r="X40" s="140"/>
      <c r="Y40" s="137"/>
      <c r="Z40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0" s="63"/>
      <c r="AB40" s="101" t="e">
        <f t="shared" si="4"/>
        <v>#N/A</v>
      </c>
      <c r="AC40" s="60">
        <v>1</v>
      </c>
      <c r="AD40" s="51">
        <f t="shared" si="5"/>
        <v>0</v>
      </c>
      <c r="AE40" s="56">
        <f t="shared" si="6"/>
        <v>0</v>
      </c>
      <c r="AF40" s="56">
        <f t="shared" si="7"/>
        <v>0</v>
      </c>
      <c r="AG40" s="56">
        <f t="shared" si="8"/>
        <v>0</v>
      </c>
      <c r="AH40" s="89">
        <f t="shared" si="9"/>
        <v>219.39310229205779</v>
      </c>
      <c r="AI40" s="90" t="e">
        <f>VLOOKUP(Q40,Dados!$T$4:$U$19,2,FALSE)</f>
        <v>#N/A</v>
      </c>
      <c r="AJ40" s="91">
        <v>1</v>
      </c>
    </row>
    <row r="41" spans="1:36" customFormat="1">
      <c r="A41" s="52"/>
      <c r="B41" s="52" t="s">
        <v>134</v>
      </c>
      <c r="C41" s="52"/>
      <c r="D41" s="52"/>
      <c r="E41" s="53"/>
      <c r="F41" s="53"/>
      <c r="G41" s="53" t="s">
        <v>137</v>
      </c>
      <c r="H41" s="53"/>
      <c r="I41" s="54"/>
      <c r="J41" s="55">
        <f t="shared" si="0"/>
        <v>0</v>
      </c>
      <c r="K41" s="56">
        <v>0.92</v>
      </c>
      <c r="L41" s="57">
        <f t="shared" si="1"/>
        <v>0</v>
      </c>
      <c r="M41" s="57">
        <f t="shared" si="2"/>
        <v>0</v>
      </c>
      <c r="N41" s="57">
        <f t="shared" si="3"/>
        <v>0</v>
      </c>
      <c r="O41" s="56"/>
      <c r="P41" s="56" t="s">
        <v>138</v>
      </c>
      <c r="Q41" s="56" t="e">
        <f>IF(R41="PVC",VLOOKUP(O41,Dados!C$3:D$19,2),IF(R41="EPR",VLOOKUP(O41,Dados!C$22:D$38,2)))</f>
        <v>#N/A</v>
      </c>
      <c r="R41" s="56" t="s">
        <v>139</v>
      </c>
      <c r="S41" s="51">
        <f t="shared" si="10"/>
        <v>0</v>
      </c>
      <c r="T41" s="56" t="e">
        <f>IF(R41="PVC",VLOOKUP(Q41,Dados!L$3:M$18,2),IF(R41="EPR",VLOOKUP(Q41,Dados!L$3:N$18,3)))</f>
        <v>#N/A</v>
      </c>
      <c r="U41" s="143" t="s">
        <v>140</v>
      </c>
      <c r="V41" s="62"/>
      <c r="W41" s="145"/>
      <c r="X41" s="140"/>
      <c r="Y41" s="137"/>
      <c r="Z41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1" s="63"/>
      <c r="AB41" s="101" t="e">
        <f t="shared" si="4"/>
        <v>#N/A</v>
      </c>
      <c r="AC41" s="60">
        <v>1</v>
      </c>
      <c r="AD41" s="51">
        <f t="shared" si="5"/>
        <v>0</v>
      </c>
      <c r="AE41" s="56">
        <f t="shared" si="6"/>
        <v>0</v>
      </c>
      <c r="AF41" s="56">
        <f t="shared" si="7"/>
        <v>0</v>
      </c>
      <c r="AG41" s="56">
        <f t="shared" si="8"/>
        <v>0</v>
      </c>
      <c r="AH41" s="89">
        <f t="shared" si="9"/>
        <v>219.39310229205779</v>
      </c>
      <c r="AI41" s="90" t="e">
        <f>VLOOKUP(Q41,Dados!$T$4:$U$19,2,FALSE)</f>
        <v>#N/A</v>
      </c>
      <c r="AJ41" s="91">
        <v>1</v>
      </c>
    </row>
    <row r="42" spans="1:36" customFormat="1">
      <c r="A42" s="52"/>
      <c r="B42" s="52"/>
      <c r="C42" s="52" t="s">
        <v>134</v>
      </c>
      <c r="D42" s="52"/>
      <c r="E42" s="53"/>
      <c r="F42" s="53"/>
      <c r="G42" s="53" t="s">
        <v>137</v>
      </c>
      <c r="H42" s="53"/>
      <c r="I42" s="54"/>
      <c r="J42" s="55">
        <f t="shared" si="0"/>
        <v>0</v>
      </c>
      <c r="K42" s="56">
        <v>0.92</v>
      </c>
      <c r="L42" s="57">
        <f t="shared" si="1"/>
        <v>0</v>
      </c>
      <c r="M42" s="57">
        <f t="shared" si="2"/>
        <v>0</v>
      </c>
      <c r="N42" s="57">
        <f t="shared" si="3"/>
        <v>0</v>
      </c>
      <c r="O42" s="56"/>
      <c r="P42" s="56" t="s">
        <v>138</v>
      </c>
      <c r="Q42" s="56" t="e">
        <f>IF(R42="PVC",VLOOKUP(O42,Dados!C$3:D$19,2),IF(R42="EPR",VLOOKUP(O42,Dados!C$22:D$38,2)))</f>
        <v>#N/A</v>
      </c>
      <c r="R42" s="56" t="s">
        <v>139</v>
      </c>
      <c r="S42" s="51">
        <f t="shared" si="10"/>
        <v>0</v>
      </c>
      <c r="T42" s="56" t="e">
        <f>IF(R42="PVC",VLOOKUP(Q42,Dados!L$3:M$18,2),IF(R42="EPR",VLOOKUP(Q42,Dados!L$3:N$18,3)))</f>
        <v>#N/A</v>
      </c>
      <c r="U42" s="143" t="s">
        <v>140</v>
      </c>
      <c r="V42" s="62"/>
      <c r="W42" s="145"/>
      <c r="X42" s="140"/>
      <c r="Y42" s="137"/>
      <c r="Z42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2" s="63"/>
      <c r="AB42" s="101" t="e">
        <f t="shared" si="4"/>
        <v>#N/A</v>
      </c>
      <c r="AC42" s="60">
        <v>1</v>
      </c>
      <c r="AD42" s="51">
        <f t="shared" si="5"/>
        <v>0</v>
      </c>
      <c r="AE42" s="56">
        <f t="shared" si="6"/>
        <v>0</v>
      </c>
      <c r="AF42" s="56">
        <f t="shared" si="7"/>
        <v>0</v>
      </c>
      <c r="AG42" s="56">
        <f t="shared" si="8"/>
        <v>0</v>
      </c>
      <c r="AH42" s="89">
        <f t="shared" si="9"/>
        <v>219.39310229205779</v>
      </c>
      <c r="AI42" s="90" t="e">
        <f>VLOOKUP(Q42,Dados!$T$4:$U$19,2,FALSE)</f>
        <v>#N/A</v>
      </c>
      <c r="AJ42" s="91">
        <v>1</v>
      </c>
    </row>
    <row r="43" spans="1:36" customFormat="1">
      <c r="A43" s="52" t="s">
        <v>134</v>
      </c>
      <c r="B43" s="52"/>
      <c r="C43" s="52"/>
      <c r="D43" s="52"/>
      <c r="E43" s="53"/>
      <c r="F43" s="53"/>
      <c r="G43" s="53" t="s">
        <v>137</v>
      </c>
      <c r="H43" s="53"/>
      <c r="I43" s="54"/>
      <c r="J43" s="55">
        <f t="shared" si="0"/>
        <v>0</v>
      </c>
      <c r="K43" s="56">
        <v>0.92</v>
      </c>
      <c r="L43" s="57">
        <f t="shared" si="1"/>
        <v>0</v>
      </c>
      <c r="M43" s="57">
        <f t="shared" si="2"/>
        <v>0</v>
      </c>
      <c r="N43" s="57">
        <f t="shared" si="3"/>
        <v>0</v>
      </c>
      <c r="O43" s="56"/>
      <c r="P43" s="56" t="s">
        <v>138</v>
      </c>
      <c r="Q43" s="56" t="e">
        <f>IF(R43="PVC",VLOOKUP(O43,Dados!C$3:D$19,2),IF(R43="EPR",VLOOKUP(O43,Dados!C$22:D$38,2)))</f>
        <v>#N/A</v>
      </c>
      <c r="R43" s="56" t="s">
        <v>139</v>
      </c>
      <c r="S43" s="51">
        <f t="shared" si="10"/>
        <v>0</v>
      </c>
      <c r="T43" s="56" t="e">
        <f>IF(R43="PVC",VLOOKUP(Q43,Dados!L$3:M$18,2),IF(R43="EPR",VLOOKUP(Q43,Dados!L$3:N$18,3)))</f>
        <v>#N/A</v>
      </c>
      <c r="U43" s="143" t="s">
        <v>140</v>
      </c>
      <c r="V43" s="62"/>
      <c r="W43" s="145"/>
      <c r="X43" s="140"/>
      <c r="Y43" s="137"/>
      <c r="Z43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3" s="63"/>
      <c r="AB43" s="101" t="e">
        <f t="shared" si="4"/>
        <v>#N/A</v>
      </c>
      <c r="AC43" s="60">
        <v>1</v>
      </c>
      <c r="AD43" s="51">
        <f t="shared" si="5"/>
        <v>0</v>
      </c>
      <c r="AE43" s="56">
        <f t="shared" si="6"/>
        <v>0</v>
      </c>
      <c r="AF43" s="56">
        <f t="shared" si="7"/>
        <v>0</v>
      </c>
      <c r="AG43" s="56">
        <f t="shared" si="8"/>
        <v>0</v>
      </c>
      <c r="AH43" s="89">
        <f t="shared" si="9"/>
        <v>219.39310229205779</v>
      </c>
      <c r="AI43" s="90" t="e">
        <f>VLOOKUP(Q43,Dados!$T$4:$U$19,2,FALSE)</f>
        <v>#N/A</v>
      </c>
      <c r="AJ43" s="91">
        <v>1</v>
      </c>
    </row>
    <row r="44" spans="1:36" customFormat="1">
      <c r="A44" s="61"/>
      <c r="B44" s="52" t="s">
        <v>134</v>
      </c>
      <c r="C44" s="52"/>
      <c r="D44" s="52"/>
      <c r="E44" s="53"/>
      <c r="F44" s="53"/>
      <c r="G44" s="53" t="s">
        <v>137</v>
      </c>
      <c r="H44" s="53"/>
      <c r="I44" s="54"/>
      <c r="J44" s="55">
        <f t="shared" si="0"/>
        <v>0</v>
      </c>
      <c r="K44" s="56">
        <v>0.92</v>
      </c>
      <c r="L44" s="57">
        <f t="shared" si="1"/>
        <v>0</v>
      </c>
      <c r="M44" s="57">
        <f t="shared" si="2"/>
        <v>0</v>
      </c>
      <c r="N44" s="57">
        <f t="shared" si="3"/>
        <v>0</v>
      </c>
      <c r="O44" s="56"/>
      <c r="P44" s="56" t="s">
        <v>138</v>
      </c>
      <c r="Q44" s="56" t="e">
        <f>IF(R44="PVC",VLOOKUP(O44,Dados!C$3:D$19,2),IF(R44="EPR",VLOOKUP(O44,Dados!C$22:D$38,2)))</f>
        <v>#N/A</v>
      </c>
      <c r="R44" s="56" t="s">
        <v>139</v>
      </c>
      <c r="S44" s="51">
        <f t="shared" si="10"/>
        <v>0</v>
      </c>
      <c r="T44" s="56" t="e">
        <f>IF(R44="PVC",VLOOKUP(Q44,Dados!L$3:M$18,2),IF(R44="EPR",VLOOKUP(Q44,Dados!L$3:N$18,3)))</f>
        <v>#N/A</v>
      </c>
      <c r="U44" s="143" t="s">
        <v>140</v>
      </c>
      <c r="V44" s="62"/>
      <c r="W44" s="145"/>
      <c r="X44" s="140"/>
      <c r="Y44" s="137"/>
      <c r="Z44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4" s="63"/>
      <c r="AB44" s="101" t="e">
        <f t="shared" si="4"/>
        <v>#N/A</v>
      </c>
      <c r="AC44" s="60">
        <v>1</v>
      </c>
      <c r="AD44" s="51">
        <f t="shared" si="5"/>
        <v>0</v>
      </c>
      <c r="AE44" s="56">
        <f t="shared" si="6"/>
        <v>0</v>
      </c>
      <c r="AF44" s="56">
        <f t="shared" si="7"/>
        <v>0</v>
      </c>
      <c r="AG44" s="56">
        <f t="shared" si="8"/>
        <v>0</v>
      </c>
      <c r="AH44" s="89">
        <f t="shared" si="9"/>
        <v>219.39310229205779</v>
      </c>
      <c r="AI44" s="90" t="e">
        <f>VLOOKUP(Q44,Dados!$T$4:$U$19,2,FALSE)</f>
        <v>#N/A</v>
      </c>
      <c r="AJ44" s="91">
        <v>1</v>
      </c>
    </row>
    <row r="45" spans="1:36" customFormat="1">
      <c r="A45" s="52"/>
      <c r="B45" s="52"/>
      <c r="C45" s="52" t="s">
        <v>134</v>
      </c>
      <c r="D45" s="52"/>
      <c r="E45" s="53"/>
      <c r="F45" s="53"/>
      <c r="G45" s="53" t="s">
        <v>137</v>
      </c>
      <c r="H45" s="53"/>
      <c r="I45" s="54"/>
      <c r="J45" s="55">
        <f t="shared" si="0"/>
        <v>0</v>
      </c>
      <c r="K45" s="56">
        <v>0.92</v>
      </c>
      <c r="L45" s="57">
        <f t="shared" si="1"/>
        <v>0</v>
      </c>
      <c r="M45" s="57">
        <f t="shared" si="2"/>
        <v>0</v>
      </c>
      <c r="N45" s="57">
        <f t="shared" si="3"/>
        <v>0</v>
      </c>
      <c r="O45" s="56"/>
      <c r="P45" s="56" t="s">
        <v>138</v>
      </c>
      <c r="Q45" s="56" t="e">
        <f>IF(R45="PVC",VLOOKUP(O45,Dados!C$3:D$19,2),IF(R45="EPR",VLOOKUP(O45,Dados!C$22:D$38,2)))</f>
        <v>#N/A</v>
      </c>
      <c r="R45" s="56" t="s">
        <v>139</v>
      </c>
      <c r="S45" s="51">
        <f t="shared" si="10"/>
        <v>0</v>
      </c>
      <c r="T45" s="56" t="e">
        <f>IF(R45="PVC",VLOOKUP(Q45,Dados!L$3:M$18,2),IF(R45="EPR",VLOOKUP(Q45,Dados!L$3:N$18,3)))</f>
        <v>#N/A</v>
      </c>
      <c r="U45" s="143" t="s">
        <v>140</v>
      </c>
      <c r="V45" s="62"/>
      <c r="W45" s="145"/>
      <c r="X45" s="140"/>
      <c r="Y45" s="137"/>
      <c r="Z45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5" s="63"/>
      <c r="AB45" s="101" t="e">
        <f t="shared" si="4"/>
        <v>#N/A</v>
      </c>
      <c r="AC45" s="60">
        <v>1</v>
      </c>
      <c r="AD45" s="51">
        <f t="shared" si="5"/>
        <v>0</v>
      </c>
      <c r="AE45" s="56">
        <f t="shared" si="6"/>
        <v>0</v>
      </c>
      <c r="AF45" s="56">
        <f t="shared" si="7"/>
        <v>0</v>
      </c>
      <c r="AG45" s="56">
        <f t="shared" si="8"/>
        <v>0</v>
      </c>
      <c r="AH45" s="89">
        <f t="shared" si="9"/>
        <v>219.39310229205779</v>
      </c>
      <c r="AI45" s="90" t="e">
        <f>VLOOKUP(Q45,Dados!$T$4:$U$19,2,FALSE)</f>
        <v>#N/A</v>
      </c>
      <c r="AJ45" s="91">
        <v>1</v>
      </c>
    </row>
    <row r="46" spans="1:36" customFormat="1">
      <c r="A46" s="61" t="s">
        <v>134</v>
      </c>
      <c r="B46" s="52"/>
      <c r="C46" s="52"/>
      <c r="D46" s="52"/>
      <c r="E46" s="53"/>
      <c r="F46" s="53"/>
      <c r="G46" s="53" t="s">
        <v>137</v>
      </c>
      <c r="H46" s="53"/>
      <c r="I46" s="54"/>
      <c r="J46" s="55">
        <f t="shared" si="0"/>
        <v>0</v>
      </c>
      <c r="K46" s="56">
        <v>0.92</v>
      </c>
      <c r="L46" s="57">
        <f t="shared" si="1"/>
        <v>0</v>
      </c>
      <c r="M46" s="57">
        <f t="shared" si="2"/>
        <v>0</v>
      </c>
      <c r="N46" s="57">
        <f t="shared" si="3"/>
        <v>0</v>
      </c>
      <c r="O46" s="56"/>
      <c r="P46" s="56" t="s">
        <v>138</v>
      </c>
      <c r="Q46" s="56" t="e">
        <f>IF(R46="PVC",VLOOKUP(O46,Dados!C$3:D$19,2),IF(R46="EPR",VLOOKUP(O46,Dados!C$22:D$38,2)))</f>
        <v>#N/A</v>
      </c>
      <c r="R46" s="56" t="s">
        <v>139</v>
      </c>
      <c r="S46" s="51">
        <f t="shared" si="10"/>
        <v>0</v>
      </c>
      <c r="T46" s="56" t="e">
        <f>IF(R46="PVC",VLOOKUP(Q46,Dados!L$3:M$18,2),IF(R46="EPR",VLOOKUP(Q46,Dados!L$3:N$18,3)))</f>
        <v>#N/A</v>
      </c>
      <c r="U46" s="143" t="s">
        <v>140</v>
      </c>
      <c r="V46" s="62"/>
      <c r="W46" s="145"/>
      <c r="X46" s="140"/>
      <c r="Y46" s="137"/>
      <c r="Z46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6" s="63"/>
      <c r="AB46" s="101" t="e">
        <f t="shared" si="4"/>
        <v>#N/A</v>
      </c>
      <c r="AC46" s="60">
        <v>1</v>
      </c>
      <c r="AD46" s="51">
        <f t="shared" si="5"/>
        <v>0</v>
      </c>
      <c r="AE46" s="56">
        <f t="shared" si="6"/>
        <v>0</v>
      </c>
      <c r="AF46" s="56">
        <f t="shared" si="7"/>
        <v>0</v>
      </c>
      <c r="AG46" s="56">
        <f t="shared" si="8"/>
        <v>0</v>
      </c>
      <c r="AH46" s="89">
        <f t="shared" si="9"/>
        <v>219.39310229205779</v>
      </c>
      <c r="AI46" s="90" t="e">
        <f>VLOOKUP(Q46,Dados!$T$4:$U$19,2,FALSE)</f>
        <v>#N/A</v>
      </c>
      <c r="AJ46" s="91">
        <v>1</v>
      </c>
    </row>
    <row r="47" spans="1:36" customFormat="1">
      <c r="A47" s="52"/>
      <c r="B47" s="52" t="s">
        <v>134</v>
      </c>
      <c r="C47" s="52"/>
      <c r="D47" s="52"/>
      <c r="E47" s="53"/>
      <c r="F47" s="53"/>
      <c r="G47" s="53" t="s">
        <v>137</v>
      </c>
      <c r="H47" s="53"/>
      <c r="I47" s="54"/>
      <c r="J47" s="55">
        <f t="shared" si="0"/>
        <v>0</v>
      </c>
      <c r="K47" s="56">
        <v>0.92</v>
      </c>
      <c r="L47" s="57">
        <f t="shared" si="1"/>
        <v>0</v>
      </c>
      <c r="M47" s="57">
        <f t="shared" si="2"/>
        <v>0</v>
      </c>
      <c r="N47" s="57">
        <f t="shared" si="3"/>
        <v>0</v>
      </c>
      <c r="O47" s="56"/>
      <c r="P47" s="56" t="s">
        <v>138</v>
      </c>
      <c r="Q47" s="56" t="e">
        <f>IF(R47="PVC",VLOOKUP(O47,Dados!C$3:D$19,2),IF(R47="EPR",VLOOKUP(O47,Dados!C$22:D$38,2)))</f>
        <v>#N/A</v>
      </c>
      <c r="R47" s="56" t="s">
        <v>139</v>
      </c>
      <c r="S47" s="51">
        <f t="shared" si="10"/>
        <v>0</v>
      </c>
      <c r="T47" s="56" t="e">
        <f>IF(R47="PVC",VLOOKUP(Q47,Dados!L$3:M$18,2),IF(R47="EPR",VLOOKUP(Q47,Dados!L$3:N$18,3)))</f>
        <v>#N/A</v>
      </c>
      <c r="U47" s="143" t="s">
        <v>140</v>
      </c>
      <c r="V47" s="62"/>
      <c r="W47" s="145"/>
      <c r="X47" s="140"/>
      <c r="Y47" s="137"/>
      <c r="Z47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7" s="63"/>
      <c r="AB47" s="101" t="e">
        <f t="shared" si="4"/>
        <v>#N/A</v>
      </c>
      <c r="AC47" s="60">
        <v>1</v>
      </c>
      <c r="AD47" s="51">
        <f t="shared" si="5"/>
        <v>0</v>
      </c>
      <c r="AE47" s="56">
        <f t="shared" si="6"/>
        <v>0</v>
      </c>
      <c r="AF47" s="56">
        <f t="shared" si="7"/>
        <v>0</v>
      </c>
      <c r="AG47" s="56">
        <f t="shared" si="8"/>
        <v>0</v>
      </c>
      <c r="AH47" s="89">
        <f t="shared" si="9"/>
        <v>219.39310229205779</v>
      </c>
      <c r="AI47" s="90" t="e">
        <f>VLOOKUP(Q47,Dados!$T$4:$U$19,2,FALSE)</f>
        <v>#N/A</v>
      </c>
      <c r="AJ47" s="91">
        <v>1</v>
      </c>
    </row>
    <row r="48" spans="1:36" customFormat="1">
      <c r="A48" s="52"/>
      <c r="B48" s="52"/>
      <c r="C48" s="52" t="s">
        <v>134</v>
      </c>
      <c r="D48" s="52"/>
      <c r="E48" s="53"/>
      <c r="F48" s="53"/>
      <c r="G48" s="53" t="s">
        <v>137</v>
      </c>
      <c r="H48" s="53"/>
      <c r="I48" s="54"/>
      <c r="J48" s="55">
        <f t="shared" si="0"/>
        <v>0</v>
      </c>
      <c r="K48" s="56">
        <v>0.92</v>
      </c>
      <c r="L48" s="57">
        <f t="shared" si="1"/>
        <v>0</v>
      </c>
      <c r="M48" s="57">
        <f t="shared" si="2"/>
        <v>0</v>
      </c>
      <c r="N48" s="57">
        <f t="shared" si="3"/>
        <v>0</v>
      </c>
      <c r="O48" s="56"/>
      <c r="P48" s="56" t="s">
        <v>138</v>
      </c>
      <c r="Q48" s="56" t="e">
        <f>IF(R48="PVC",VLOOKUP(O48,Dados!C$3:D$19,2),IF(R48="EPR",VLOOKUP(O48,Dados!C$22:D$38,2)))</f>
        <v>#N/A</v>
      </c>
      <c r="R48" s="56" t="s">
        <v>139</v>
      </c>
      <c r="S48" s="51">
        <f t="shared" si="10"/>
        <v>0</v>
      </c>
      <c r="T48" s="56" t="e">
        <f>IF(R48="PVC",VLOOKUP(Q48,Dados!L$3:M$18,2),IF(R48="EPR",VLOOKUP(Q48,Dados!L$3:N$18,3)))</f>
        <v>#N/A</v>
      </c>
      <c r="U48" s="143" t="s">
        <v>140</v>
      </c>
      <c r="V48" s="62"/>
      <c r="W48" s="145"/>
      <c r="X48" s="140"/>
      <c r="Y48" s="137"/>
      <c r="Z48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8" s="63"/>
      <c r="AB48" s="101" t="e">
        <f t="shared" si="4"/>
        <v>#N/A</v>
      </c>
      <c r="AC48" s="60">
        <v>1</v>
      </c>
      <c r="AD48" s="51">
        <f t="shared" si="5"/>
        <v>0</v>
      </c>
      <c r="AE48" s="56">
        <f t="shared" si="6"/>
        <v>0</v>
      </c>
      <c r="AF48" s="56">
        <f t="shared" si="7"/>
        <v>0</v>
      </c>
      <c r="AG48" s="56">
        <f t="shared" si="8"/>
        <v>0</v>
      </c>
      <c r="AH48" s="89">
        <f t="shared" si="9"/>
        <v>219.39310229205779</v>
      </c>
      <c r="AI48" s="90" t="e">
        <f>VLOOKUP(Q48,Dados!$T$4:$U$19,2,FALSE)</f>
        <v>#N/A</v>
      </c>
      <c r="AJ48" s="91">
        <v>1</v>
      </c>
    </row>
    <row r="49" spans="1:36" customFormat="1">
      <c r="A49" s="52" t="s">
        <v>134</v>
      </c>
      <c r="B49" s="52"/>
      <c r="C49" s="52"/>
      <c r="D49" s="52"/>
      <c r="E49" s="53"/>
      <c r="F49" s="53"/>
      <c r="G49" s="53" t="s">
        <v>137</v>
      </c>
      <c r="H49" s="53"/>
      <c r="I49" s="54"/>
      <c r="J49" s="55">
        <f t="shared" si="0"/>
        <v>0</v>
      </c>
      <c r="K49" s="56">
        <v>0.92</v>
      </c>
      <c r="L49" s="57">
        <f t="shared" si="1"/>
        <v>0</v>
      </c>
      <c r="M49" s="57">
        <f t="shared" si="2"/>
        <v>0</v>
      </c>
      <c r="N49" s="57">
        <f t="shared" si="3"/>
        <v>0</v>
      </c>
      <c r="O49" s="56"/>
      <c r="P49" s="56" t="s">
        <v>138</v>
      </c>
      <c r="Q49" s="56" t="e">
        <f>IF(R49="PVC",VLOOKUP(O49,Dados!C$3:D$19,2),IF(R49="EPR",VLOOKUP(O49,Dados!C$22:D$38,2)))</f>
        <v>#N/A</v>
      </c>
      <c r="R49" s="56" t="s">
        <v>139</v>
      </c>
      <c r="S49" s="51">
        <f t="shared" si="10"/>
        <v>0</v>
      </c>
      <c r="T49" s="56" t="e">
        <f>IF(R49="PVC",VLOOKUP(Q49,Dados!L$3:M$18,2),IF(R49="EPR",VLOOKUP(Q49,Dados!L$3:N$18,3)))</f>
        <v>#N/A</v>
      </c>
      <c r="U49" s="143" t="s">
        <v>140</v>
      </c>
      <c r="V49" s="62"/>
      <c r="W49" s="145"/>
      <c r="X49" s="140"/>
      <c r="Y49" s="137"/>
      <c r="Z49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49" s="63"/>
      <c r="AB49" s="101" t="e">
        <f t="shared" si="4"/>
        <v>#N/A</v>
      </c>
      <c r="AC49" s="60">
        <v>1</v>
      </c>
      <c r="AD49" s="51">
        <f t="shared" si="5"/>
        <v>0</v>
      </c>
      <c r="AE49" s="56">
        <f t="shared" si="6"/>
        <v>0</v>
      </c>
      <c r="AF49" s="56">
        <f t="shared" si="7"/>
        <v>0</v>
      </c>
      <c r="AG49" s="56">
        <f t="shared" si="8"/>
        <v>0</v>
      </c>
      <c r="AH49" s="89">
        <f t="shared" si="9"/>
        <v>219.39310229205779</v>
      </c>
      <c r="AI49" s="90" t="e">
        <f>VLOOKUP(Q49,Dados!$T$4:$U$19,2,FALSE)</f>
        <v>#N/A</v>
      </c>
      <c r="AJ49" s="91">
        <v>1</v>
      </c>
    </row>
    <row r="50" spans="1:36" customFormat="1">
      <c r="A50" s="61"/>
      <c r="B50" s="52" t="s">
        <v>134</v>
      </c>
      <c r="C50" s="52"/>
      <c r="D50" s="52"/>
      <c r="E50" s="53"/>
      <c r="F50" s="53"/>
      <c r="G50" s="53" t="s">
        <v>137</v>
      </c>
      <c r="H50" s="53"/>
      <c r="I50" s="54"/>
      <c r="J50" s="55">
        <f t="shared" si="0"/>
        <v>0</v>
      </c>
      <c r="K50" s="56">
        <v>0.92</v>
      </c>
      <c r="L50" s="57">
        <f t="shared" si="1"/>
        <v>0</v>
      </c>
      <c r="M50" s="57">
        <f t="shared" si="2"/>
        <v>0</v>
      </c>
      <c r="N50" s="57">
        <f t="shared" si="3"/>
        <v>0</v>
      </c>
      <c r="O50" s="56"/>
      <c r="P50" s="56" t="s">
        <v>138</v>
      </c>
      <c r="Q50" s="56" t="e">
        <f>IF(R50="PVC",VLOOKUP(O50,Dados!C$3:D$19,2),IF(R50="EPR",VLOOKUP(O50,Dados!C$22:D$38,2)))</f>
        <v>#N/A</v>
      </c>
      <c r="R50" s="56" t="s">
        <v>139</v>
      </c>
      <c r="S50" s="51">
        <f t="shared" si="10"/>
        <v>0</v>
      </c>
      <c r="T50" s="56" t="e">
        <f>IF(R50="PVC",VLOOKUP(Q50,Dados!L$3:M$18,2),IF(R50="EPR",VLOOKUP(Q50,Dados!L$3:N$18,3)))</f>
        <v>#N/A</v>
      </c>
      <c r="U50" s="143" t="s">
        <v>140</v>
      </c>
      <c r="V50" s="62"/>
      <c r="W50" s="145"/>
      <c r="X50" s="140"/>
      <c r="Y50" s="137"/>
      <c r="Z50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0" s="63"/>
      <c r="AB50" s="101" t="e">
        <f t="shared" si="4"/>
        <v>#N/A</v>
      </c>
      <c r="AC50" s="60">
        <v>1</v>
      </c>
      <c r="AD50" s="51">
        <f t="shared" si="5"/>
        <v>0</v>
      </c>
      <c r="AE50" s="56">
        <f t="shared" si="6"/>
        <v>0</v>
      </c>
      <c r="AF50" s="56">
        <f t="shared" si="7"/>
        <v>0</v>
      </c>
      <c r="AG50" s="56">
        <f t="shared" si="8"/>
        <v>0</v>
      </c>
      <c r="AH50" s="89">
        <f t="shared" si="9"/>
        <v>219.39310229205779</v>
      </c>
      <c r="AI50" s="90" t="e">
        <f>VLOOKUP(Q50,Dados!$T$4:$U$19,2,FALSE)</f>
        <v>#N/A</v>
      </c>
      <c r="AJ50" s="91">
        <v>1</v>
      </c>
    </row>
    <row r="51" spans="1:36" customFormat="1">
      <c r="A51" s="52"/>
      <c r="B51" s="52"/>
      <c r="C51" s="52" t="s">
        <v>134</v>
      </c>
      <c r="D51" s="52"/>
      <c r="E51" s="53"/>
      <c r="F51" s="53"/>
      <c r="G51" s="53" t="s">
        <v>137</v>
      </c>
      <c r="H51" s="53"/>
      <c r="I51" s="54"/>
      <c r="J51" s="55">
        <f t="shared" si="0"/>
        <v>0</v>
      </c>
      <c r="K51" s="56">
        <v>0.92</v>
      </c>
      <c r="L51" s="57">
        <f t="shared" si="1"/>
        <v>0</v>
      </c>
      <c r="M51" s="57">
        <f t="shared" si="2"/>
        <v>0</v>
      </c>
      <c r="N51" s="57">
        <f t="shared" si="3"/>
        <v>0</v>
      </c>
      <c r="O51" s="56"/>
      <c r="P51" s="56" t="s">
        <v>138</v>
      </c>
      <c r="Q51" s="56" t="e">
        <f>IF(R51="PVC",VLOOKUP(O51,Dados!C$3:D$19,2),IF(R51="EPR",VLOOKUP(O51,Dados!C$22:D$38,2)))</f>
        <v>#N/A</v>
      </c>
      <c r="R51" s="56" t="s">
        <v>139</v>
      </c>
      <c r="S51" s="51">
        <f t="shared" si="10"/>
        <v>0</v>
      </c>
      <c r="T51" s="56" t="e">
        <f>IF(R51="PVC",VLOOKUP(Q51,Dados!L$3:M$18,2),IF(R51="EPR",VLOOKUP(Q51,Dados!L$3:N$18,3)))</f>
        <v>#N/A</v>
      </c>
      <c r="U51" s="143" t="s">
        <v>140</v>
      </c>
      <c r="V51" s="62"/>
      <c r="W51" s="145"/>
      <c r="X51" s="140"/>
      <c r="Y51" s="137"/>
      <c r="Z51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1" s="63"/>
      <c r="AB51" s="101" t="e">
        <f t="shared" si="4"/>
        <v>#N/A</v>
      </c>
      <c r="AC51" s="60">
        <v>1</v>
      </c>
      <c r="AD51" s="51">
        <f t="shared" si="5"/>
        <v>0</v>
      </c>
      <c r="AE51" s="56">
        <f t="shared" si="6"/>
        <v>0</v>
      </c>
      <c r="AF51" s="56">
        <f t="shared" si="7"/>
        <v>0</v>
      </c>
      <c r="AG51" s="56">
        <f t="shared" si="8"/>
        <v>0</v>
      </c>
      <c r="AH51" s="89">
        <f t="shared" si="9"/>
        <v>219.39310229205779</v>
      </c>
      <c r="AI51" s="90" t="e">
        <f>VLOOKUP(Q51,Dados!$T$4:$U$19,2,FALSE)</f>
        <v>#N/A</v>
      </c>
      <c r="AJ51" s="91">
        <v>1</v>
      </c>
    </row>
    <row r="52" spans="1:36" customFormat="1">
      <c r="A52" s="61" t="s">
        <v>134</v>
      </c>
      <c r="B52" s="52"/>
      <c r="C52" s="52"/>
      <c r="D52" s="52"/>
      <c r="E52" s="53"/>
      <c r="F52" s="53"/>
      <c r="G52" s="53" t="s">
        <v>137</v>
      </c>
      <c r="H52" s="53"/>
      <c r="I52" s="54"/>
      <c r="J52" s="55">
        <f t="shared" si="0"/>
        <v>0</v>
      </c>
      <c r="K52" s="56">
        <v>0.92</v>
      </c>
      <c r="L52" s="57">
        <f t="shared" si="1"/>
        <v>0</v>
      </c>
      <c r="M52" s="57">
        <f t="shared" si="2"/>
        <v>0</v>
      </c>
      <c r="N52" s="57">
        <f t="shared" si="3"/>
        <v>0</v>
      </c>
      <c r="O52" s="56"/>
      <c r="P52" s="56" t="s">
        <v>138</v>
      </c>
      <c r="Q52" s="56" t="e">
        <f>IF(R52="PVC",VLOOKUP(O52,Dados!C$3:D$19,2),IF(R52="EPR",VLOOKUP(O52,Dados!C$22:D$38,2)))</f>
        <v>#N/A</v>
      </c>
      <c r="R52" s="56" t="s">
        <v>139</v>
      </c>
      <c r="S52" s="51">
        <f t="shared" si="10"/>
        <v>0</v>
      </c>
      <c r="T52" s="56" t="e">
        <f>IF(R52="PVC",VLOOKUP(Q52,Dados!L$3:M$18,2),IF(R52="EPR",VLOOKUP(Q52,Dados!L$3:N$18,3)))</f>
        <v>#N/A</v>
      </c>
      <c r="U52" s="143" t="s">
        <v>140</v>
      </c>
      <c r="V52" s="62"/>
      <c r="W52" s="145"/>
      <c r="X52" s="140"/>
      <c r="Y52" s="137"/>
      <c r="Z52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2" s="63"/>
      <c r="AB52" s="101" t="e">
        <f t="shared" si="4"/>
        <v>#N/A</v>
      </c>
      <c r="AC52" s="60">
        <v>1</v>
      </c>
      <c r="AD52" s="51">
        <f t="shared" si="5"/>
        <v>0</v>
      </c>
      <c r="AE52" s="56">
        <f t="shared" si="6"/>
        <v>0</v>
      </c>
      <c r="AF52" s="56">
        <f t="shared" si="7"/>
        <v>0</v>
      </c>
      <c r="AG52" s="56">
        <f t="shared" si="8"/>
        <v>0</v>
      </c>
      <c r="AH52" s="89">
        <f t="shared" si="9"/>
        <v>219.39310229205779</v>
      </c>
      <c r="AI52" s="90" t="e">
        <f>VLOOKUP(Q52,Dados!$T$4:$U$19,2,FALSE)</f>
        <v>#N/A</v>
      </c>
      <c r="AJ52" s="91">
        <v>1</v>
      </c>
    </row>
    <row r="53" spans="1:36" customFormat="1">
      <c r="A53" s="52"/>
      <c r="B53" s="52" t="s">
        <v>134</v>
      </c>
      <c r="C53" s="52"/>
      <c r="D53" s="52"/>
      <c r="E53" s="53"/>
      <c r="F53" s="53"/>
      <c r="G53" s="53" t="s">
        <v>137</v>
      </c>
      <c r="H53" s="53"/>
      <c r="I53" s="54"/>
      <c r="J53" s="55">
        <f t="shared" si="0"/>
        <v>0</v>
      </c>
      <c r="K53" s="56">
        <v>0.92</v>
      </c>
      <c r="L53" s="57">
        <f t="shared" si="1"/>
        <v>0</v>
      </c>
      <c r="M53" s="57">
        <f t="shared" si="2"/>
        <v>0</v>
      </c>
      <c r="N53" s="57">
        <f t="shared" si="3"/>
        <v>0</v>
      </c>
      <c r="O53" s="56"/>
      <c r="P53" s="56" t="s">
        <v>138</v>
      </c>
      <c r="Q53" s="56" t="e">
        <f>IF(R53="PVC",VLOOKUP(O53,Dados!C$3:D$19,2),IF(R53="EPR",VLOOKUP(O53,Dados!C$22:D$38,2)))</f>
        <v>#N/A</v>
      </c>
      <c r="R53" s="56" t="s">
        <v>139</v>
      </c>
      <c r="S53" s="51">
        <f t="shared" si="10"/>
        <v>0</v>
      </c>
      <c r="T53" s="56" t="e">
        <f>IF(R53="PVC",VLOOKUP(Q53,Dados!L$3:M$18,2),IF(R53="EPR",VLOOKUP(Q53,Dados!L$3:N$18,3)))</f>
        <v>#N/A</v>
      </c>
      <c r="U53" s="143" t="s">
        <v>140</v>
      </c>
      <c r="V53" s="62"/>
      <c r="W53" s="145"/>
      <c r="X53" s="140"/>
      <c r="Y53" s="137"/>
      <c r="Z53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3" s="63"/>
      <c r="AB53" s="101" t="e">
        <f t="shared" si="4"/>
        <v>#N/A</v>
      </c>
      <c r="AC53" s="60">
        <v>1</v>
      </c>
      <c r="AD53" s="51">
        <f t="shared" si="5"/>
        <v>0</v>
      </c>
      <c r="AE53" s="56">
        <f t="shared" si="6"/>
        <v>0</v>
      </c>
      <c r="AF53" s="56">
        <f t="shared" si="7"/>
        <v>0</v>
      </c>
      <c r="AG53" s="56">
        <f t="shared" si="8"/>
        <v>0</v>
      </c>
      <c r="AH53" s="89">
        <f t="shared" si="9"/>
        <v>219.39310229205779</v>
      </c>
      <c r="AI53" s="90" t="e">
        <f>VLOOKUP(Q53,Dados!$T$4:$U$19,2,FALSE)</f>
        <v>#N/A</v>
      </c>
      <c r="AJ53" s="91">
        <v>1</v>
      </c>
    </row>
    <row r="54" spans="1:36" customFormat="1">
      <c r="A54" s="52"/>
      <c r="B54" s="52"/>
      <c r="C54" s="52" t="s">
        <v>134</v>
      </c>
      <c r="D54" s="52"/>
      <c r="E54" s="53"/>
      <c r="F54" s="53"/>
      <c r="G54" s="53" t="s">
        <v>137</v>
      </c>
      <c r="H54" s="53"/>
      <c r="I54" s="54"/>
      <c r="J54" s="55">
        <f t="shared" si="0"/>
        <v>0</v>
      </c>
      <c r="K54" s="56">
        <v>0.92</v>
      </c>
      <c r="L54" s="57">
        <f t="shared" si="1"/>
        <v>0</v>
      </c>
      <c r="M54" s="57">
        <f t="shared" si="2"/>
        <v>0</v>
      </c>
      <c r="N54" s="57">
        <f t="shared" si="3"/>
        <v>0</v>
      </c>
      <c r="O54" s="56"/>
      <c r="P54" s="56" t="s">
        <v>138</v>
      </c>
      <c r="Q54" s="56" t="e">
        <f>IF(R54="PVC",VLOOKUP(O54,Dados!C$3:D$19,2),IF(R54="EPR",VLOOKUP(O54,Dados!C$22:D$38,2)))</f>
        <v>#N/A</v>
      </c>
      <c r="R54" s="56" t="s">
        <v>139</v>
      </c>
      <c r="S54" s="51">
        <f t="shared" si="10"/>
        <v>0</v>
      </c>
      <c r="T54" s="56" t="e">
        <f>IF(R54="PVC",VLOOKUP(Q54,Dados!L$3:M$18,2),IF(R54="EPR",VLOOKUP(Q54,Dados!L$3:N$18,3)))</f>
        <v>#N/A</v>
      </c>
      <c r="U54" s="143" t="s">
        <v>140</v>
      </c>
      <c r="V54" s="62"/>
      <c r="W54" s="145"/>
      <c r="X54" s="140"/>
      <c r="Y54" s="137"/>
      <c r="Z54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4" s="63"/>
      <c r="AB54" s="101" t="e">
        <f t="shared" si="4"/>
        <v>#N/A</v>
      </c>
      <c r="AC54" s="60">
        <v>1</v>
      </c>
      <c r="AD54" s="51">
        <f t="shared" si="5"/>
        <v>0</v>
      </c>
      <c r="AE54" s="56">
        <f t="shared" si="6"/>
        <v>0</v>
      </c>
      <c r="AF54" s="56">
        <f t="shared" si="7"/>
        <v>0</v>
      </c>
      <c r="AG54" s="56">
        <f t="shared" si="8"/>
        <v>0</v>
      </c>
      <c r="AH54" s="89">
        <f t="shared" si="9"/>
        <v>219.39310229205779</v>
      </c>
      <c r="AI54" s="90" t="e">
        <f>VLOOKUP(Q54,Dados!$T$4:$U$19,2,FALSE)</f>
        <v>#N/A</v>
      </c>
      <c r="AJ54" s="91">
        <v>1</v>
      </c>
    </row>
    <row r="55" spans="1:36" customFormat="1">
      <c r="A55" s="52" t="s">
        <v>134</v>
      </c>
      <c r="B55" s="52"/>
      <c r="C55" s="52"/>
      <c r="D55" s="52"/>
      <c r="E55" s="53"/>
      <c r="F55" s="53"/>
      <c r="G55" s="53" t="s">
        <v>137</v>
      </c>
      <c r="H55" s="53"/>
      <c r="I55" s="54"/>
      <c r="J55" s="55">
        <f t="shared" si="0"/>
        <v>0</v>
      </c>
      <c r="K55" s="56">
        <v>0.92</v>
      </c>
      <c r="L55" s="57">
        <f t="shared" si="1"/>
        <v>0</v>
      </c>
      <c r="M55" s="57">
        <f t="shared" si="2"/>
        <v>0</v>
      </c>
      <c r="N55" s="57">
        <f t="shared" si="3"/>
        <v>0</v>
      </c>
      <c r="O55" s="56"/>
      <c r="P55" s="56" t="s">
        <v>138</v>
      </c>
      <c r="Q55" s="56" t="e">
        <f>IF(R55="PVC",VLOOKUP(O55,Dados!C$3:D$19,2),IF(R55="EPR",VLOOKUP(O55,Dados!C$22:D$38,2)))</f>
        <v>#N/A</v>
      </c>
      <c r="R55" s="56" t="s">
        <v>139</v>
      </c>
      <c r="S55" s="51">
        <f t="shared" si="10"/>
        <v>0</v>
      </c>
      <c r="T55" s="56" t="e">
        <f>IF(R55="PVC",VLOOKUP(Q55,Dados!L$3:M$18,2),IF(R55="EPR",VLOOKUP(Q55,Dados!L$3:N$18,3)))</f>
        <v>#N/A</v>
      </c>
      <c r="U55" s="143" t="s">
        <v>140</v>
      </c>
      <c r="V55" s="62"/>
      <c r="W55" s="145"/>
      <c r="X55" s="140"/>
      <c r="Y55" s="137"/>
      <c r="Z55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5" s="63"/>
      <c r="AB55" s="101" t="e">
        <f t="shared" si="4"/>
        <v>#N/A</v>
      </c>
      <c r="AC55" s="60">
        <v>1</v>
      </c>
      <c r="AD55" s="51">
        <f t="shared" si="5"/>
        <v>0</v>
      </c>
      <c r="AE55" s="56">
        <f t="shared" si="6"/>
        <v>0</v>
      </c>
      <c r="AF55" s="56">
        <f t="shared" si="7"/>
        <v>0</v>
      </c>
      <c r="AG55" s="56">
        <f t="shared" si="8"/>
        <v>0</v>
      </c>
      <c r="AH55" s="89">
        <f t="shared" si="9"/>
        <v>219.39310229205779</v>
      </c>
      <c r="AI55" s="90" t="e">
        <f>VLOOKUP(Q55,Dados!$T$4:$U$19,2,FALSE)</f>
        <v>#N/A</v>
      </c>
      <c r="AJ55" s="91">
        <v>1</v>
      </c>
    </row>
    <row r="56" spans="1:36" customFormat="1">
      <c r="A56" s="61"/>
      <c r="B56" s="52" t="s">
        <v>134</v>
      </c>
      <c r="C56" s="52"/>
      <c r="D56" s="52"/>
      <c r="E56" s="53"/>
      <c r="F56" s="53"/>
      <c r="G56" s="53" t="s">
        <v>137</v>
      </c>
      <c r="H56" s="53"/>
      <c r="I56" s="54"/>
      <c r="J56" s="55">
        <f t="shared" si="0"/>
        <v>0</v>
      </c>
      <c r="K56" s="56">
        <v>0.92</v>
      </c>
      <c r="L56" s="57">
        <f t="shared" si="1"/>
        <v>0</v>
      </c>
      <c r="M56" s="57">
        <f t="shared" si="2"/>
        <v>0</v>
      </c>
      <c r="N56" s="57">
        <f t="shared" si="3"/>
        <v>0</v>
      </c>
      <c r="O56" s="56"/>
      <c r="P56" s="56" t="s">
        <v>138</v>
      </c>
      <c r="Q56" s="56" t="e">
        <f>IF(R56="PVC",VLOOKUP(O56,Dados!C$3:D$19,2),IF(R56="EPR",VLOOKUP(O56,Dados!C$22:D$38,2)))</f>
        <v>#N/A</v>
      </c>
      <c r="R56" s="56" t="s">
        <v>139</v>
      </c>
      <c r="S56" s="51">
        <f t="shared" si="10"/>
        <v>0</v>
      </c>
      <c r="T56" s="56" t="e">
        <f>IF(R56="PVC",VLOOKUP(Q56,Dados!L$3:M$18,2),IF(R56="EPR",VLOOKUP(Q56,Dados!L$3:N$18,3)))</f>
        <v>#N/A</v>
      </c>
      <c r="U56" s="143" t="s">
        <v>140</v>
      </c>
      <c r="V56" s="62"/>
      <c r="W56" s="145"/>
      <c r="X56" s="140"/>
      <c r="Y56" s="137"/>
      <c r="Z56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6" s="63"/>
      <c r="AB56" s="101" t="e">
        <f t="shared" si="4"/>
        <v>#N/A</v>
      </c>
      <c r="AC56" s="60">
        <v>1</v>
      </c>
      <c r="AD56" s="51">
        <f t="shared" si="5"/>
        <v>0</v>
      </c>
      <c r="AE56" s="56">
        <f t="shared" si="6"/>
        <v>0</v>
      </c>
      <c r="AF56" s="56">
        <f t="shared" si="7"/>
        <v>0</v>
      </c>
      <c r="AG56" s="56">
        <f t="shared" si="8"/>
        <v>0</v>
      </c>
      <c r="AH56" s="89">
        <f t="shared" si="9"/>
        <v>219.39310229205779</v>
      </c>
      <c r="AI56" s="90" t="e">
        <f>VLOOKUP(Q56,Dados!$T$4:$U$19,2,FALSE)</f>
        <v>#N/A</v>
      </c>
      <c r="AJ56" s="91">
        <v>1</v>
      </c>
    </row>
    <row r="57" spans="1:36" customFormat="1">
      <c r="A57" s="52"/>
      <c r="B57" s="52"/>
      <c r="C57" s="52" t="s">
        <v>134</v>
      </c>
      <c r="D57" s="52"/>
      <c r="E57" s="53"/>
      <c r="F57" s="53"/>
      <c r="G57" s="53" t="s">
        <v>137</v>
      </c>
      <c r="H57" s="53"/>
      <c r="I57" s="54"/>
      <c r="J57" s="55">
        <f t="shared" si="0"/>
        <v>0</v>
      </c>
      <c r="K57" s="56">
        <v>0.92</v>
      </c>
      <c r="L57" s="57">
        <f t="shared" si="1"/>
        <v>0</v>
      </c>
      <c r="M57" s="57">
        <f t="shared" si="2"/>
        <v>0</v>
      </c>
      <c r="N57" s="57">
        <f t="shared" si="3"/>
        <v>0</v>
      </c>
      <c r="O57" s="56"/>
      <c r="P57" s="56" t="s">
        <v>138</v>
      </c>
      <c r="Q57" s="56" t="e">
        <f>IF(R57="PVC",VLOOKUP(O57,Dados!C$3:D$19,2),IF(R57="EPR",VLOOKUP(O57,Dados!C$22:D$38,2)))</f>
        <v>#N/A</v>
      </c>
      <c r="R57" s="56" t="s">
        <v>139</v>
      </c>
      <c r="S57" s="51">
        <f t="shared" si="10"/>
        <v>0</v>
      </c>
      <c r="T57" s="56" t="e">
        <f>IF(R57="PVC",VLOOKUP(Q57,Dados!L$3:M$18,2),IF(R57="EPR",VLOOKUP(Q57,Dados!L$3:N$18,3)))</f>
        <v>#N/A</v>
      </c>
      <c r="U57" s="143" t="s">
        <v>140</v>
      </c>
      <c r="V57" s="62"/>
      <c r="W57" s="145"/>
      <c r="X57" s="140"/>
      <c r="Y57" s="137"/>
      <c r="Z57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7" s="63"/>
      <c r="AB57" s="101" t="e">
        <f t="shared" si="4"/>
        <v>#N/A</v>
      </c>
      <c r="AC57" s="60">
        <v>1</v>
      </c>
      <c r="AD57" s="51">
        <f t="shared" si="5"/>
        <v>0</v>
      </c>
      <c r="AE57" s="56">
        <f t="shared" si="6"/>
        <v>0</v>
      </c>
      <c r="AF57" s="56">
        <f t="shared" si="7"/>
        <v>0</v>
      </c>
      <c r="AG57" s="56">
        <f t="shared" si="8"/>
        <v>0</v>
      </c>
      <c r="AH57" s="89">
        <f t="shared" si="9"/>
        <v>219.39310229205779</v>
      </c>
      <c r="AI57" s="90" t="e">
        <f>VLOOKUP(Q57,Dados!$T$4:$U$19,2,FALSE)</f>
        <v>#N/A</v>
      </c>
      <c r="AJ57" s="91">
        <v>1</v>
      </c>
    </row>
    <row r="58" spans="1:36" customFormat="1">
      <c r="A58" s="61" t="s">
        <v>134</v>
      </c>
      <c r="B58" s="52"/>
      <c r="C58" s="52"/>
      <c r="D58" s="52"/>
      <c r="E58" s="53"/>
      <c r="F58" s="53"/>
      <c r="G58" s="53" t="s">
        <v>137</v>
      </c>
      <c r="H58" s="53"/>
      <c r="I58" s="54"/>
      <c r="J58" s="55">
        <f t="shared" si="0"/>
        <v>0</v>
      </c>
      <c r="K58" s="56">
        <v>0.92</v>
      </c>
      <c r="L58" s="57">
        <f t="shared" si="1"/>
        <v>0</v>
      </c>
      <c r="M58" s="57">
        <f t="shared" si="2"/>
        <v>0</v>
      </c>
      <c r="N58" s="57">
        <f t="shared" si="3"/>
        <v>0</v>
      </c>
      <c r="O58" s="56"/>
      <c r="P58" s="56" t="s">
        <v>138</v>
      </c>
      <c r="Q58" s="56" t="e">
        <f>IF(R58="PVC",VLOOKUP(O58,Dados!C$3:D$19,2),IF(R58="EPR",VLOOKUP(O58,Dados!C$22:D$38,2)))</f>
        <v>#N/A</v>
      </c>
      <c r="R58" s="56" t="s">
        <v>139</v>
      </c>
      <c r="S58" s="51">
        <f t="shared" si="10"/>
        <v>0</v>
      </c>
      <c r="T58" s="56" t="e">
        <f>IF(R58="PVC",VLOOKUP(Q58,Dados!L$3:M$18,2),IF(R58="EPR",VLOOKUP(Q58,Dados!L$3:N$18,3)))</f>
        <v>#N/A</v>
      </c>
      <c r="U58" s="143" t="s">
        <v>140</v>
      </c>
      <c r="V58" s="62"/>
      <c r="W58" s="145"/>
      <c r="X58" s="140"/>
      <c r="Y58" s="137"/>
      <c r="Z58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8" s="63"/>
      <c r="AB58" s="101" t="e">
        <f t="shared" si="4"/>
        <v>#N/A</v>
      </c>
      <c r="AC58" s="60">
        <v>1</v>
      </c>
      <c r="AD58" s="51">
        <f t="shared" si="5"/>
        <v>0</v>
      </c>
      <c r="AE58" s="56">
        <f t="shared" si="6"/>
        <v>0</v>
      </c>
      <c r="AF58" s="56">
        <f t="shared" si="7"/>
        <v>0</v>
      </c>
      <c r="AG58" s="56">
        <f t="shared" si="8"/>
        <v>0</v>
      </c>
      <c r="AH58" s="89">
        <f t="shared" si="9"/>
        <v>219.39310229205779</v>
      </c>
      <c r="AI58" s="90" t="e">
        <f>VLOOKUP(Q58,Dados!$T$4:$U$19,2,FALSE)</f>
        <v>#N/A</v>
      </c>
      <c r="AJ58" s="91">
        <v>1</v>
      </c>
    </row>
    <row r="59" spans="1:36" customFormat="1">
      <c r="A59" s="52"/>
      <c r="B59" s="52" t="s">
        <v>134</v>
      </c>
      <c r="C59" s="52"/>
      <c r="D59" s="52"/>
      <c r="E59" s="53"/>
      <c r="F59" s="53"/>
      <c r="G59" s="53" t="s">
        <v>137</v>
      </c>
      <c r="H59" s="53"/>
      <c r="I59" s="54"/>
      <c r="J59" s="55">
        <f t="shared" si="0"/>
        <v>0</v>
      </c>
      <c r="K59" s="56">
        <v>0.92</v>
      </c>
      <c r="L59" s="57">
        <f t="shared" si="1"/>
        <v>0</v>
      </c>
      <c r="M59" s="57">
        <f t="shared" si="2"/>
        <v>0</v>
      </c>
      <c r="N59" s="57">
        <f t="shared" si="3"/>
        <v>0</v>
      </c>
      <c r="O59" s="56"/>
      <c r="P59" s="56" t="s">
        <v>138</v>
      </c>
      <c r="Q59" s="56" t="e">
        <f>IF(R59="PVC",VLOOKUP(O59,Dados!C$3:D$19,2),IF(R59="EPR",VLOOKUP(O59,Dados!C$22:D$38,2)))</f>
        <v>#N/A</v>
      </c>
      <c r="R59" s="56" t="s">
        <v>139</v>
      </c>
      <c r="S59" s="51">
        <f t="shared" si="10"/>
        <v>0</v>
      </c>
      <c r="T59" s="56" t="e">
        <f>IF(R59="PVC",VLOOKUP(Q59,Dados!L$3:M$18,2),IF(R59="EPR",VLOOKUP(Q59,Dados!L$3:N$18,3)))</f>
        <v>#N/A</v>
      </c>
      <c r="U59" s="143" t="s">
        <v>140</v>
      </c>
      <c r="V59" s="62"/>
      <c r="W59" s="145"/>
      <c r="X59" s="140"/>
      <c r="Y59" s="137"/>
      <c r="Z59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59" s="63"/>
      <c r="AB59" s="101" t="e">
        <f t="shared" si="4"/>
        <v>#N/A</v>
      </c>
      <c r="AC59" s="60">
        <v>1</v>
      </c>
      <c r="AD59" s="51">
        <f t="shared" si="5"/>
        <v>0</v>
      </c>
      <c r="AE59" s="56">
        <f t="shared" si="6"/>
        <v>0</v>
      </c>
      <c r="AF59" s="56">
        <f t="shared" si="7"/>
        <v>0</v>
      </c>
      <c r="AG59" s="56">
        <f t="shared" si="8"/>
        <v>0</v>
      </c>
      <c r="AH59" s="89">
        <f t="shared" si="9"/>
        <v>219.39310229205779</v>
      </c>
      <c r="AI59" s="90" t="e">
        <f>VLOOKUP(Q59,Dados!$T$4:$U$19,2,FALSE)</f>
        <v>#N/A</v>
      </c>
      <c r="AJ59" s="91">
        <v>1</v>
      </c>
    </row>
    <row r="60" spans="1:36" customFormat="1">
      <c r="A60" s="52"/>
      <c r="B60" s="52"/>
      <c r="C60" s="52" t="s">
        <v>134</v>
      </c>
      <c r="D60" s="52"/>
      <c r="E60" s="53"/>
      <c r="F60" s="53"/>
      <c r="G60" s="53" t="s">
        <v>137</v>
      </c>
      <c r="H60" s="53"/>
      <c r="I60" s="54"/>
      <c r="J60" s="55">
        <f t="shared" si="0"/>
        <v>0</v>
      </c>
      <c r="K60" s="56">
        <v>0.92</v>
      </c>
      <c r="L60" s="57">
        <f t="shared" si="1"/>
        <v>0</v>
      </c>
      <c r="M60" s="57">
        <f t="shared" si="2"/>
        <v>0</v>
      </c>
      <c r="N60" s="57">
        <f t="shared" si="3"/>
        <v>0</v>
      </c>
      <c r="O60" s="56"/>
      <c r="P60" s="56" t="s">
        <v>138</v>
      </c>
      <c r="Q60" s="56" t="e">
        <f>IF(R60="PVC",VLOOKUP(O60,Dados!C$3:D$19,2),IF(R60="EPR",VLOOKUP(O60,Dados!C$22:D$38,2)))</f>
        <v>#N/A</v>
      </c>
      <c r="R60" s="56" t="s">
        <v>139</v>
      </c>
      <c r="S60" s="51">
        <f t="shared" si="10"/>
        <v>0</v>
      </c>
      <c r="T60" s="56" t="e">
        <f>IF(R60="PVC",VLOOKUP(Q60,Dados!L$3:M$18,2),IF(R60="EPR",VLOOKUP(Q60,Dados!L$3:N$18,3)))</f>
        <v>#N/A</v>
      </c>
      <c r="U60" s="143" t="s">
        <v>140</v>
      </c>
      <c r="V60" s="62"/>
      <c r="W60" s="145"/>
      <c r="X60" s="140"/>
      <c r="Y60" s="137"/>
      <c r="Z60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0" s="63"/>
      <c r="AB60" s="101" t="e">
        <f t="shared" si="4"/>
        <v>#N/A</v>
      </c>
      <c r="AC60" s="60">
        <v>1</v>
      </c>
      <c r="AD60" s="51">
        <f t="shared" si="5"/>
        <v>0</v>
      </c>
      <c r="AE60" s="56">
        <f t="shared" si="6"/>
        <v>0</v>
      </c>
      <c r="AF60" s="56">
        <f t="shared" si="7"/>
        <v>0</v>
      </c>
      <c r="AG60" s="56">
        <f t="shared" si="8"/>
        <v>0</v>
      </c>
      <c r="AH60" s="89">
        <f t="shared" si="9"/>
        <v>219.39310229205779</v>
      </c>
      <c r="AI60" s="90" t="e">
        <f>VLOOKUP(Q60,Dados!$T$4:$U$19,2,FALSE)</f>
        <v>#N/A</v>
      </c>
      <c r="AJ60" s="91">
        <v>1</v>
      </c>
    </row>
    <row r="61" spans="1:36" customFormat="1">
      <c r="A61" s="52" t="s">
        <v>134</v>
      </c>
      <c r="B61" s="52"/>
      <c r="C61" s="52"/>
      <c r="D61" s="52"/>
      <c r="E61" s="53"/>
      <c r="F61" s="53"/>
      <c r="G61" s="53" t="s">
        <v>137</v>
      </c>
      <c r="H61" s="53"/>
      <c r="I61" s="54"/>
      <c r="J61" s="55">
        <f t="shared" si="0"/>
        <v>0</v>
      </c>
      <c r="K61" s="56">
        <v>0.92</v>
      </c>
      <c r="L61" s="57">
        <f t="shared" si="1"/>
        <v>0</v>
      </c>
      <c r="M61" s="57">
        <f t="shared" si="2"/>
        <v>0</v>
      </c>
      <c r="N61" s="57">
        <f t="shared" si="3"/>
        <v>0</v>
      </c>
      <c r="O61" s="56"/>
      <c r="P61" s="56" t="s">
        <v>138</v>
      </c>
      <c r="Q61" s="56" t="e">
        <f>IF(R61="PVC",VLOOKUP(O61,Dados!C$3:D$19,2),IF(R61="EPR",VLOOKUP(O61,Dados!C$22:D$38,2)))</f>
        <v>#N/A</v>
      </c>
      <c r="R61" s="56" t="s">
        <v>139</v>
      </c>
      <c r="S61" s="51">
        <f t="shared" si="10"/>
        <v>0</v>
      </c>
      <c r="T61" s="56" t="e">
        <f>IF(R61="PVC",VLOOKUP(Q61,Dados!L$3:M$18,2),IF(R61="EPR",VLOOKUP(Q61,Dados!L$3:N$18,3)))</f>
        <v>#N/A</v>
      </c>
      <c r="U61" s="143" t="s">
        <v>140</v>
      </c>
      <c r="V61" s="62"/>
      <c r="W61" s="145"/>
      <c r="X61" s="140"/>
      <c r="Y61" s="137"/>
      <c r="Z61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1" s="63"/>
      <c r="AB61" s="101" t="e">
        <f t="shared" si="4"/>
        <v>#N/A</v>
      </c>
      <c r="AC61" s="60">
        <v>1</v>
      </c>
      <c r="AD61" s="51">
        <f t="shared" si="5"/>
        <v>0</v>
      </c>
      <c r="AE61" s="56">
        <f t="shared" si="6"/>
        <v>0</v>
      </c>
      <c r="AF61" s="56">
        <f t="shared" si="7"/>
        <v>0</v>
      </c>
      <c r="AG61" s="56">
        <f t="shared" si="8"/>
        <v>0</v>
      </c>
      <c r="AH61" s="89">
        <f t="shared" si="9"/>
        <v>219.39310229205779</v>
      </c>
      <c r="AI61" s="90" t="e">
        <f>VLOOKUP(Q61,Dados!$T$4:$U$19,2,FALSE)</f>
        <v>#N/A</v>
      </c>
      <c r="AJ61" s="91">
        <v>1</v>
      </c>
    </row>
    <row r="62" spans="1:36" customFormat="1">
      <c r="A62" s="61"/>
      <c r="B62" s="52" t="s">
        <v>134</v>
      </c>
      <c r="C62" s="52"/>
      <c r="D62" s="52"/>
      <c r="E62" s="53"/>
      <c r="F62" s="53"/>
      <c r="G62" s="53" t="s">
        <v>137</v>
      </c>
      <c r="H62" s="53"/>
      <c r="I62" s="54"/>
      <c r="J62" s="55">
        <f t="shared" si="0"/>
        <v>0</v>
      </c>
      <c r="K62" s="56">
        <v>0.92</v>
      </c>
      <c r="L62" s="57">
        <f t="shared" si="1"/>
        <v>0</v>
      </c>
      <c r="M62" s="57">
        <f t="shared" si="2"/>
        <v>0</v>
      </c>
      <c r="N62" s="57">
        <f t="shared" si="3"/>
        <v>0</v>
      </c>
      <c r="O62" s="56"/>
      <c r="P62" s="56" t="s">
        <v>138</v>
      </c>
      <c r="Q62" s="56" t="e">
        <f>IF(R62="PVC",VLOOKUP(O62,Dados!C$3:D$19,2),IF(R62="EPR",VLOOKUP(O62,Dados!C$22:D$38,2)))</f>
        <v>#N/A</v>
      </c>
      <c r="R62" s="56" t="s">
        <v>139</v>
      </c>
      <c r="S62" s="51">
        <f t="shared" si="10"/>
        <v>0</v>
      </c>
      <c r="T62" s="56" t="e">
        <f>IF(R62="PVC",VLOOKUP(Q62,Dados!L$3:M$18,2),IF(R62="EPR",VLOOKUP(Q62,Dados!L$3:N$18,3)))</f>
        <v>#N/A</v>
      </c>
      <c r="U62" s="143" t="s">
        <v>140</v>
      </c>
      <c r="V62" s="62"/>
      <c r="W62" s="145"/>
      <c r="X62" s="140"/>
      <c r="Y62" s="137"/>
      <c r="Z62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2" s="63"/>
      <c r="AB62" s="101" t="e">
        <f t="shared" si="4"/>
        <v>#N/A</v>
      </c>
      <c r="AC62" s="60">
        <v>1</v>
      </c>
      <c r="AD62" s="51">
        <f t="shared" si="5"/>
        <v>0</v>
      </c>
      <c r="AE62" s="56">
        <f t="shared" si="6"/>
        <v>0</v>
      </c>
      <c r="AF62" s="56">
        <f t="shared" si="7"/>
        <v>0</v>
      </c>
      <c r="AG62" s="56">
        <f t="shared" si="8"/>
        <v>0</v>
      </c>
      <c r="AH62" s="89">
        <f t="shared" si="9"/>
        <v>219.39310229205779</v>
      </c>
      <c r="AI62" s="90" t="e">
        <f>VLOOKUP(Q62,Dados!$T$4:$U$19,2,FALSE)</f>
        <v>#N/A</v>
      </c>
      <c r="AJ62" s="91">
        <v>1</v>
      </c>
    </row>
    <row r="63" spans="1:36" customFormat="1">
      <c r="A63" s="52"/>
      <c r="B63" s="52"/>
      <c r="C63" s="52" t="s">
        <v>134</v>
      </c>
      <c r="D63" s="52"/>
      <c r="E63" s="53"/>
      <c r="F63" s="53"/>
      <c r="G63" s="53" t="s">
        <v>137</v>
      </c>
      <c r="H63" s="53"/>
      <c r="I63" s="54"/>
      <c r="J63" s="55">
        <f t="shared" si="0"/>
        <v>0</v>
      </c>
      <c r="K63" s="56">
        <v>0.92</v>
      </c>
      <c r="L63" s="57">
        <f t="shared" si="1"/>
        <v>0</v>
      </c>
      <c r="M63" s="57">
        <f t="shared" si="2"/>
        <v>0</v>
      </c>
      <c r="N63" s="57">
        <f t="shared" si="3"/>
        <v>0</v>
      </c>
      <c r="O63" s="56"/>
      <c r="P63" s="56" t="s">
        <v>138</v>
      </c>
      <c r="Q63" s="56" t="e">
        <f>IF(R63="PVC",VLOOKUP(O63,Dados!C$3:D$19,2),IF(R63="EPR",VLOOKUP(O63,Dados!C$22:D$38,2)))</f>
        <v>#N/A</v>
      </c>
      <c r="R63" s="56" t="s">
        <v>139</v>
      </c>
      <c r="S63" s="51">
        <f t="shared" si="10"/>
        <v>0</v>
      </c>
      <c r="T63" s="56" t="e">
        <f>IF(R63="PVC",VLOOKUP(Q63,Dados!L$3:M$18,2),IF(R63="EPR",VLOOKUP(Q63,Dados!L$3:N$18,3)))</f>
        <v>#N/A</v>
      </c>
      <c r="U63" s="143" t="s">
        <v>140</v>
      </c>
      <c r="V63" s="62"/>
      <c r="W63" s="145"/>
      <c r="X63" s="140"/>
      <c r="Y63" s="137"/>
      <c r="Z63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3" s="63"/>
      <c r="AB63" s="101" t="e">
        <f t="shared" si="4"/>
        <v>#N/A</v>
      </c>
      <c r="AC63" s="60">
        <v>1</v>
      </c>
      <c r="AD63" s="51">
        <f t="shared" si="5"/>
        <v>0</v>
      </c>
      <c r="AE63" s="56">
        <f t="shared" si="6"/>
        <v>0</v>
      </c>
      <c r="AF63" s="56">
        <f t="shared" si="7"/>
        <v>0</v>
      </c>
      <c r="AG63" s="56">
        <f t="shared" si="8"/>
        <v>0</v>
      </c>
      <c r="AH63" s="89">
        <f t="shared" si="9"/>
        <v>219.39310229205779</v>
      </c>
      <c r="AI63" s="90" t="e">
        <f>VLOOKUP(Q63,Dados!$T$4:$U$19,2,FALSE)</f>
        <v>#N/A</v>
      </c>
      <c r="AJ63" s="91">
        <v>1</v>
      </c>
    </row>
    <row r="64" spans="1:36" customFormat="1">
      <c r="A64" s="61" t="s">
        <v>134</v>
      </c>
      <c r="B64" s="52"/>
      <c r="C64" s="52"/>
      <c r="D64" s="52"/>
      <c r="E64" s="53"/>
      <c r="F64" s="53"/>
      <c r="G64" s="53" t="s">
        <v>137</v>
      </c>
      <c r="H64" s="53"/>
      <c r="I64" s="54"/>
      <c r="J64" s="55">
        <f t="shared" si="0"/>
        <v>0</v>
      </c>
      <c r="K64" s="56">
        <v>0.92</v>
      </c>
      <c r="L64" s="57">
        <f t="shared" si="1"/>
        <v>0</v>
      </c>
      <c r="M64" s="57">
        <f t="shared" si="2"/>
        <v>0</v>
      </c>
      <c r="N64" s="57">
        <f t="shared" si="3"/>
        <v>0</v>
      </c>
      <c r="O64" s="56"/>
      <c r="P64" s="56" t="s">
        <v>138</v>
      </c>
      <c r="Q64" s="56" t="e">
        <f>IF(R64="PVC",VLOOKUP(O64,Dados!C$3:D$19,2),IF(R64="EPR",VLOOKUP(O64,Dados!C$22:D$38,2)))</f>
        <v>#N/A</v>
      </c>
      <c r="R64" s="56" t="s">
        <v>139</v>
      </c>
      <c r="S64" s="51">
        <f t="shared" si="10"/>
        <v>0</v>
      </c>
      <c r="T64" s="56" t="e">
        <f>IF(R64="PVC",VLOOKUP(Q64,Dados!L$3:M$18,2),IF(R64="EPR",VLOOKUP(Q64,Dados!L$3:N$18,3)))</f>
        <v>#N/A</v>
      </c>
      <c r="U64" s="143" t="s">
        <v>140</v>
      </c>
      <c r="V64" s="62"/>
      <c r="W64" s="145"/>
      <c r="X64" s="140"/>
      <c r="Y64" s="137"/>
      <c r="Z64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4" s="63"/>
      <c r="AB64" s="101" t="e">
        <f t="shared" si="4"/>
        <v>#N/A</v>
      </c>
      <c r="AC64" s="60">
        <v>1</v>
      </c>
      <c r="AD64" s="51">
        <f t="shared" si="5"/>
        <v>0</v>
      </c>
      <c r="AE64" s="56">
        <f t="shared" si="6"/>
        <v>0</v>
      </c>
      <c r="AF64" s="56">
        <f t="shared" si="7"/>
        <v>0</v>
      </c>
      <c r="AG64" s="56">
        <f t="shared" si="8"/>
        <v>0</v>
      </c>
      <c r="AH64" s="89">
        <f t="shared" si="9"/>
        <v>219.39310229205779</v>
      </c>
      <c r="AI64" s="90" t="e">
        <f>VLOOKUP(Q64,Dados!$T$4:$U$19,2,FALSE)</f>
        <v>#N/A</v>
      </c>
      <c r="AJ64" s="91">
        <v>1</v>
      </c>
    </row>
    <row r="65" spans="1:36" customFormat="1">
      <c r="A65" s="52"/>
      <c r="B65" s="52" t="s">
        <v>134</v>
      </c>
      <c r="C65" s="52"/>
      <c r="D65" s="52"/>
      <c r="E65" s="53"/>
      <c r="F65" s="53"/>
      <c r="G65" s="53" t="s">
        <v>137</v>
      </c>
      <c r="H65" s="53"/>
      <c r="I65" s="54"/>
      <c r="J65" s="55">
        <f t="shared" si="0"/>
        <v>0</v>
      </c>
      <c r="K65" s="56">
        <v>0.92</v>
      </c>
      <c r="L65" s="57">
        <f t="shared" si="1"/>
        <v>0</v>
      </c>
      <c r="M65" s="57">
        <f t="shared" si="2"/>
        <v>0</v>
      </c>
      <c r="N65" s="57">
        <f t="shared" si="3"/>
        <v>0</v>
      </c>
      <c r="O65" s="56"/>
      <c r="P65" s="56" t="s">
        <v>138</v>
      </c>
      <c r="Q65" s="56" t="e">
        <f>IF(R65="PVC",VLOOKUP(O65,Dados!C$3:D$19,2),IF(R65="EPR",VLOOKUP(O65,Dados!C$22:D$38,2)))</f>
        <v>#N/A</v>
      </c>
      <c r="R65" s="56" t="s">
        <v>139</v>
      </c>
      <c r="S65" s="51">
        <f t="shared" si="10"/>
        <v>0</v>
      </c>
      <c r="T65" s="56" t="e">
        <f>IF(R65="PVC",VLOOKUP(Q65,Dados!L$3:M$18,2),IF(R65="EPR",VLOOKUP(Q65,Dados!L$3:N$18,3)))</f>
        <v>#N/A</v>
      </c>
      <c r="U65" s="143" t="s">
        <v>140</v>
      </c>
      <c r="V65" s="62"/>
      <c r="W65" s="145"/>
      <c r="X65" s="140"/>
      <c r="Y65" s="137"/>
      <c r="Z65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5" s="63"/>
      <c r="AB65" s="101" t="e">
        <f t="shared" si="4"/>
        <v>#N/A</v>
      </c>
      <c r="AC65" s="60">
        <v>1</v>
      </c>
      <c r="AD65" s="51">
        <f t="shared" si="5"/>
        <v>0</v>
      </c>
      <c r="AE65" s="56">
        <f t="shared" si="6"/>
        <v>0</v>
      </c>
      <c r="AF65" s="56">
        <f t="shared" si="7"/>
        <v>0</v>
      </c>
      <c r="AG65" s="56">
        <f t="shared" si="8"/>
        <v>0</v>
      </c>
      <c r="AH65" s="89">
        <f t="shared" si="9"/>
        <v>219.39310229205779</v>
      </c>
      <c r="AI65" s="90" t="e">
        <f>VLOOKUP(Q65,Dados!$T$4:$U$19,2,FALSE)</f>
        <v>#N/A</v>
      </c>
      <c r="AJ65" s="91">
        <v>1</v>
      </c>
    </row>
    <row r="66" spans="1:36" customFormat="1">
      <c r="A66" s="52"/>
      <c r="B66" s="52"/>
      <c r="C66" s="52" t="s">
        <v>134</v>
      </c>
      <c r="D66" s="52"/>
      <c r="E66" s="53"/>
      <c r="F66" s="53"/>
      <c r="G66" s="53" t="s">
        <v>137</v>
      </c>
      <c r="H66" s="53"/>
      <c r="I66" s="54"/>
      <c r="J66" s="55">
        <f t="shared" si="0"/>
        <v>0</v>
      </c>
      <c r="K66" s="56">
        <v>0.92</v>
      </c>
      <c r="L66" s="57">
        <f t="shared" si="1"/>
        <v>0</v>
      </c>
      <c r="M66" s="57">
        <f t="shared" si="2"/>
        <v>0</v>
      </c>
      <c r="N66" s="57">
        <f t="shared" si="3"/>
        <v>0</v>
      </c>
      <c r="O66" s="56"/>
      <c r="P66" s="56" t="s">
        <v>138</v>
      </c>
      <c r="Q66" s="56" t="e">
        <f>IF(R66="PVC",VLOOKUP(O66,Dados!C$3:D$19,2),IF(R66="EPR",VLOOKUP(O66,Dados!C$22:D$38,2)))</f>
        <v>#N/A</v>
      </c>
      <c r="R66" s="56" t="s">
        <v>139</v>
      </c>
      <c r="S66" s="51">
        <f t="shared" si="10"/>
        <v>0</v>
      </c>
      <c r="T66" s="56" t="e">
        <f>IF(R66="PVC",VLOOKUP(Q66,Dados!L$3:M$18,2),IF(R66="EPR",VLOOKUP(Q66,Dados!L$3:N$18,3)))</f>
        <v>#N/A</v>
      </c>
      <c r="U66" s="143" t="s">
        <v>140</v>
      </c>
      <c r="V66" s="62"/>
      <c r="W66" s="145"/>
      <c r="X66" s="140"/>
      <c r="Y66" s="137"/>
      <c r="Z66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6" s="63"/>
      <c r="AB66" s="101" t="e">
        <f t="shared" si="4"/>
        <v>#N/A</v>
      </c>
      <c r="AC66" s="60">
        <v>1</v>
      </c>
      <c r="AD66" s="51">
        <f t="shared" si="5"/>
        <v>0</v>
      </c>
      <c r="AE66" s="56">
        <f t="shared" si="6"/>
        <v>0</v>
      </c>
      <c r="AF66" s="56">
        <f t="shared" si="7"/>
        <v>0</v>
      </c>
      <c r="AG66" s="56">
        <f t="shared" si="8"/>
        <v>0</v>
      </c>
      <c r="AH66" s="89">
        <f t="shared" si="9"/>
        <v>219.39310229205779</v>
      </c>
      <c r="AI66" s="90" t="e">
        <f>VLOOKUP(Q66,Dados!$T$4:$U$19,2,FALSE)</f>
        <v>#N/A</v>
      </c>
      <c r="AJ66" s="91">
        <v>1</v>
      </c>
    </row>
    <row r="67" spans="1:36" customFormat="1">
      <c r="A67" s="52" t="s">
        <v>134</v>
      </c>
      <c r="B67" s="52"/>
      <c r="C67" s="52"/>
      <c r="D67" s="52"/>
      <c r="E67" s="53"/>
      <c r="F67" s="53"/>
      <c r="G67" s="53" t="s">
        <v>137</v>
      </c>
      <c r="H67" s="53"/>
      <c r="I67" s="54"/>
      <c r="J67" s="55">
        <f t="shared" si="0"/>
        <v>0</v>
      </c>
      <c r="K67" s="56">
        <v>0.92</v>
      </c>
      <c r="L67" s="57">
        <f t="shared" si="1"/>
        <v>0</v>
      </c>
      <c r="M67" s="57">
        <f t="shared" si="2"/>
        <v>0</v>
      </c>
      <c r="N67" s="57">
        <f t="shared" si="3"/>
        <v>0</v>
      </c>
      <c r="O67" s="56"/>
      <c r="P67" s="56" t="s">
        <v>138</v>
      </c>
      <c r="Q67" s="56" t="e">
        <f>IF(R67="PVC",VLOOKUP(O67,Dados!C$3:D$19,2),IF(R67="EPR",VLOOKUP(O67,Dados!C$22:D$38,2)))</f>
        <v>#N/A</v>
      </c>
      <c r="R67" s="56" t="s">
        <v>139</v>
      </c>
      <c r="S67" s="51">
        <f t="shared" si="10"/>
        <v>0</v>
      </c>
      <c r="T67" s="56" t="e">
        <f>IF(R67="PVC",VLOOKUP(Q67,Dados!L$3:M$18,2),IF(R67="EPR",VLOOKUP(Q67,Dados!L$3:N$18,3)))</f>
        <v>#N/A</v>
      </c>
      <c r="U67" s="143" t="s">
        <v>140</v>
      </c>
      <c r="V67" s="62"/>
      <c r="W67" s="145"/>
      <c r="X67" s="140"/>
      <c r="Y67" s="137"/>
      <c r="Z67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7" s="63"/>
      <c r="AB67" s="101" t="e">
        <f t="shared" si="4"/>
        <v>#N/A</v>
      </c>
      <c r="AC67" s="60">
        <v>1</v>
      </c>
      <c r="AD67" s="51">
        <f t="shared" si="5"/>
        <v>0</v>
      </c>
      <c r="AE67" s="56">
        <f t="shared" si="6"/>
        <v>0</v>
      </c>
      <c r="AF67" s="56">
        <f t="shared" si="7"/>
        <v>0</v>
      </c>
      <c r="AG67" s="56">
        <f t="shared" si="8"/>
        <v>0</v>
      </c>
      <c r="AH67" s="89">
        <f t="shared" si="9"/>
        <v>219.39310229205779</v>
      </c>
      <c r="AI67" s="90" t="e">
        <f>VLOOKUP(Q67,Dados!$T$4:$U$19,2,FALSE)</f>
        <v>#N/A</v>
      </c>
      <c r="AJ67" s="91">
        <v>1</v>
      </c>
    </row>
    <row r="68" spans="1:36" customFormat="1">
      <c r="A68" s="61"/>
      <c r="B68" s="52" t="s">
        <v>134</v>
      </c>
      <c r="C68" s="52"/>
      <c r="D68" s="52"/>
      <c r="E68" s="53"/>
      <c r="F68" s="53"/>
      <c r="G68" s="53" t="s">
        <v>137</v>
      </c>
      <c r="H68" s="53"/>
      <c r="I68" s="54"/>
      <c r="J68" s="55">
        <f t="shared" si="0"/>
        <v>0</v>
      </c>
      <c r="K68" s="56">
        <v>0.92</v>
      </c>
      <c r="L68" s="57">
        <f t="shared" si="1"/>
        <v>0</v>
      </c>
      <c r="M68" s="57">
        <f t="shared" si="2"/>
        <v>0</v>
      </c>
      <c r="N68" s="57">
        <f t="shared" si="3"/>
        <v>0</v>
      </c>
      <c r="O68" s="56"/>
      <c r="P68" s="56" t="s">
        <v>138</v>
      </c>
      <c r="Q68" s="56" t="e">
        <f>IF(R68="PVC",VLOOKUP(O68,Dados!C$3:D$19,2),IF(R68="EPR",VLOOKUP(O68,Dados!C$22:D$38,2)))</f>
        <v>#N/A</v>
      </c>
      <c r="R68" s="56" t="s">
        <v>139</v>
      </c>
      <c r="S68" s="51">
        <f t="shared" si="10"/>
        <v>0</v>
      </c>
      <c r="T68" s="56" t="e">
        <f>IF(R68="PVC",VLOOKUP(Q68,Dados!L$3:M$18,2),IF(R68="EPR",VLOOKUP(Q68,Dados!L$3:N$18,3)))</f>
        <v>#N/A</v>
      </c>
      <c r="U68" s="143" t="s">
        <v>140</v>
      </c>
      <c r="V68" s="62"/>
      <c r="W68" s="145"/>
      <c r="X68" s="140"/>
      <c r="Y68" s="137"/>
      <c r="Z68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8" s="63"/>
      <c r="AB68" s="101" t="e">
        <f t="shared" si="4"/>
        <v>#N/A</v>
      </c>
      <c r="AC68" s="60">
        <v>1</v>
      </c>
      <c r="AD68" s="51">
        <f t="shared" si="5"/>
        <v>0</v>
      </c>
      <c r="AE68" s="56">
        <f t="shared" si="6"/>
        <v>0</v>
      </c>
      <c r="AF68" s="56">
        <f t="shared" si="7"/>
        <v>0</v>
      </c>
      <c r="AG68" s="56">
        <f t="shared" si="8"/>
        <v>0</v>
      </c>
      <c r="AH68" s="89">
        <f t="shared" si="9"/>
        <v>219.39310229205779</v>
      </c>
      <c r="AI68" s="90" t="e">
        <f>VLOOKUP(Q68,Dados!$T$4:$U$19,2,FALSE)</f>
        <v>#N/A</v>
      </c>
      <c r="AJ68" s="91">
        <v>1</v>
      </c>
    </row>
    <row r="69" spans="1:36" customFormat="1">
      <c r="A69" s="52"/>
      <c r="B69" s="52"/>
      <c r="C69" s="52" t="s">
        <v>134</v>
      </c>
      <c r="D69" s="52"/>
      <c r="E69" s="53"/>
      <c r="F69" s="53"/>
      <c r="G69" s="53" t="s">
        <v>137</v>
      </c>
      <c r="H69" s="53"/>
      <c r="I69" s="54"/>
      <c r="J69" s="55">
        <f t="shared" si="0"/>
        <v>0</v>
      </c>
      <c r="K69" s="56">
        <v>0.92</v>
      </c>
      <c r="L69" s="57">
        <f t="shared" si="1"/>
        <v>0</v>
      </c>
      <c r="M69" s="57">
        <f t="shared" si="2"/>
        <v>0</v>
      </c>
      <c r="N69" s="57">
        <f t="shared" si="3"/>
        <v>0</v>
      </c>
      <c r="O69" s="56"/>
      <c r="P69" s="56" t="s">
        <v>138</v>
      </c>
      <c r="Q69" s="56" t="e">
        <f>IF(R69="PVC",VLOOKUP(O69,Dados!C$3:D$19,2),IF(R69="EPR",VLOOKUP(O69,Dados!C$22:D$38,2)))</f>
        <v>#N/A</v>
      </c>
      <c r="R69" s="56" t="s">
        <v>139</v>
      </c>
      <c r="S69" s="51">
        <f t="shared" si="10"/>
        <v>0</v>
      </c>
      <c r="T69" s="56" t="e">
        <f>IF(R69="PVC",VLOOKUP(Q69,Dados!L$3:M$18,2),IF(R69="EPR",VLOOKUP(Q69,Dados!L$3:N$18,3)))</f>
        <v>#N/A</v>
      </c>
      <c r="U69" s="143" t="s">
        <v>140</v>
      </c>
      <c r="V69" s="62"/>
      <c r="W69" s="145"/>
      <c r="X69" s="140"/>
      <c r="Y69" s="137"/>
      <c r="Z69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69" s="63"/>
      <c r="AB69" s="101" t="e">
        <f t="shared" si="4"/>
        <v>#N/A</v>
      </c>
      <c r="AC69" s="60">
        <v>1</v>
      </c>
      <c r="AD69" s="51">
        <f t="shared" si="5"/>
        <v>0</v>
      </c>
      <c r="AE69" s="56">
        <f t="shared" si="6"/>
        <v>0</v>
      </c>
      <c r="AF69" s="56">
        <f t="shared" si="7"/>
        <v>0</v>
      </c>
      <c r="AG69" s="56">
        <f t="shared" si="8"/>
        <v>0</v>
      </c>
      <c r="AH69" s="89">
        <f t="shared" si="9"/>
        <v>219.39310229205779</v>
      </c>
      <c r="AI69" s="90" t="e">
        <f>VLOOKUP(Q69,Dados!$T$4:$U$19,2,FALSE)</f>
        <v>#N/A</v>
      </c>
      <c r="AJ69" s="91">
        <v>1</v>
      </c>
    </row>
    <row r="70" spans="1:36" customFormat="1">
      <c r="A70" s="61" t="s">
        <v>134</v>
      </c>
      <c r="B70" s="52"/>
      <c r="C70" s="52"/>
      <c r="D70" s="52"/>
      <c r="E70" s="53"/>
      <c r="F70" s="53"/>
      <c r="G70" s="53" t="s">
        <v>137</v>
      </c>
      <c r="H70" s="53"/>
      <c r="I70" s="54"/>
      <c r="J70" s="55">
        <f t="shared" si="0"/>
        <v>0</v>
      </c>
      <c r="K70" s="56">
        <v>0.92</v>
      </c>
      <c r="L70" s="57">
        <f t="shared" si="1"/>
        <v>0</v>
      </c>
      <c r="M70" s="57">
        <f t="shared" si="2"/>
        <v>0</v>
      </c>
      <c r="N70" s="57">
        <f t="shared" si="3"/>
        <v>0</v>
      </c>
      <c r="O70" s="56"/>
      <c r="P70" s="56" t="s">
        <v>138</v>
      </c>
      <c r="Q70" s="56" t="e">
        <f>IF(R70="PVC",VLOOKUP(O70,Dados!C$3:D$19,2),IF(R70="EPR",VLOOKUP(O70,Dados!C$22:D$38,2)))</f>
        <v>#N/A</v>
      </c>
      <c r="R70" s="56" t="s">
        <v>139</v>
      </c>
      <c r="S70" s="51">
        <f t="shared" si="10"/>
        <v>0</v>
      </c>
      <c r="T70" s="56" t="e">
        <f>IF(R70="PVC",VLOOKUP(Q70,Dados!L$3:M$18,2),IF(R70="EPR",VLOOKUP(Q70,Dados!L$3:N$18,3)))</f>
        <v>#N/A</v>
      </c>
      <c r="U70" s="143" t="s">
        <v>140</v>
      </c>
      <c r="V70" s="62"/>
      <c r="W70" s="145"/>
      <c r="X70" s="140"/>
      <c r="Y70" s="137"/>
      <c r="Z70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0" s="63"/>
      <c r="AB70" s="101" t="e">
        <f t="shared" si="4"/>
        <v>#N/A</v>
      </c>
      <c r="AC70" s="60">
        <v>1</v>
      </c>
      <c r="AD70" s="51">
        <f t="shared" si="5"/>
        <v>0</v>
      </c>
      <c r="AE70" s="56">
        <f t="shared" si="6"/>
        <v>0</v>
      </c>
      <c r="AF70" s="56">
        <f t="shared" si="7"/>
        <v>0</v>
      </c>
      <c r="AG70" s="56">
        <f t="shared" si="8"/>
        <v>0</v>
      </c>
      <c r="AH70" s="89">
        <f t="shared" si="9"/>
        <v>219.39310229205779</v>
      </c>
      <c r="AI70" s="90" t="e">
        <f>VLOOKUP(Q70,Dados!$T$4:$U$19,2,FALSE)</f>
        <v>#N/A</v>
      </c>
      <c r="AJ70" s="91">
        <v>1</v>
      </c>
    </row>
    <row r="71" spans="1:36" customFormat="1">
      <c r="A71" s="52"/>
      <c r="B71" s="52" t="s">
        <v>134</v>
      </c>
      <c r="C71" s="52"/>
      <c r="D71" s="52"/>
      <c r="E71" s="53"/>
      <c r="F71" s="53"/>
      <c r="G71" s="53" t="s">
        <v>137</v>
      </c>
      <c r="H71" s="53"/>
      <c r="I71" s="54"/>
      <c r="J71" s="55">
        <f t="shared" si="0"/>
        <v>0</v>
      </c>
      <c r="K71" s="56">
        <v>0.92</v>
      </c>
      <c r="L71" s="57">
        <f t="shared" si="1"/>
        <v>0</v>
      </c>
      <c r="M71" s="57">
        <f t="shared" si="2"/>
        <v>0</v>
      </c>
      <c r="N71" s="57">
        <f t="shared" si="3"/>
        <v>0</v>
      </c>
      <c r="O71" s="56"/>
      <c r="P71" s="56" t="s">
        <v>138</v>
      </c>
      <c r="Q71" s="56" t="e">
        <f>IF(R71="PVC",VLOOKUP(O71,Dados!C$3:D$19,2),IF(R71="EPR",VLOOKUP(O71,Dados!C$22:D$38,2)))</f>
        <v>#N/A</v>
      </c>
      <c r="R71" s="56" t="s">
        <v>139</v>
      </c>
      <c r="S71" s="51">
        <f t="shared" si="10"/>
        <v>0</v>
      </c>
      <c r="T71" s="56" t="e">
        <f>IF(R71="PVC",VLOOKUP(Q71,Dados!L$3:M$18,2),IF(R71="EPR",VLOOKUP(Q71,Dados!L$3:N$18,3)))</f>
        <v>#N/A</v>
      </c>
      <c r="U71" s="143" t="s">
        <v>140</v>
      </c>
      <c r="V71" s="62"/>
      <c r="W71" s="145"/>
      <c r="X71" s="140"/>
      <c r="Y71" s="137"/>
      <c r="Z71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1" s="63"/>
      <c r="AB71" s="101" t="e">
        <f t="shared" si="4"/>
        <v>#N/A</v>
      </c>
      <c r="AC71" s="60">
        <v>1</v>
      </c>
      <c r="AD71" s="51">
        <f t="shared" si="5"/>
        <v>0</v>
      </c>
      <c r="AE71" s="56">
        <f t="shared" si="6"/>
        <v>0</v>
      </c>
      <c r="AF71" s="56">
        <f t="shared" si="7"/>
        <v>0</v>
      </c>
      <c r="AG71" s="56">
        <f t="shared" si="8"/>
        <v>0</v>
      </c>
      <c r="AH71" s="89">
        <f t="shared" si="9"/>
        <v>219.39310229205779</v>
      </c>
      <c r="AI71" s="90" t="e">
        <f>VLOOKUP(Q71,Dados!$T$4:$U$19,2,FALSE)</f>
        <v>#N/A</v>
      </c>
      <c r="AJ71" s="91">
        <v>1</v>
      </c>
    </row>
    <row r="72" spans="1:36" customFormat="1">
      <c r="A72" s="52"/>
      <c r="B72" s="52"/>
      <c r="C72" s="52" t="s">
        <v>134</v>
      </c>
      <c r="D72" s="52"/>
      <c r="E72" s="53"/>
      <c r="F72" s="53"/>
      <c r="G72" s="53" t="s">
        <v>137</v>
      </c>
      <c r="H72" s="53"/>
      <c r="I72" s="54"/>
      <c r="J72" s="55">
        <f t="shared" si="0"/>
        <v>0</v>
      </c>
      <c r="K72" s="56">
        <v>0.92</v>
      </c>
      <c r="L72" s="57">
        <f t="shared" si="1"/>
        <v>0</v>
      </c>
      <c r="M72" s="57">
        <f t="shared" si="2"/>
        <v>0</v>
      </c>
      <c r="N72" s="57">
        <f t="shared" si="3"/>
        <v>0</v>
      </c>
      <c r="O72" s="56"/>
      <c r="P72" s="56" t="s">
        <v>138</v>
      </c>
      <c r="Q72" s="56" t="e">
        <f>IF(R72="PVC",VLOOKUP(O72,Dados!C$3:D$19,2),IF(R72="EPR",VLOOKUP(O72,Dados!C$22:D$38,2)))</f>
        <v>#N/A</v>
      </c>
      <c r="R72" s="56" t="s">
        <v>139</v>
      </c>
      <c r="S72" s="51">
        <f t="shared" si="10"/>
        <v>0</v>
      </c>
      <c r="T72" s="56" t="e">
        <f>IF(R72="PVC",VLOOKUP(Q72,Dados!L$3:M$18,2),IF(R72="EPR",VLOOKUP(Q72,Dados!L$3:N$18,3)))</f>
        <v>#N/A</v>
      </c>
      <c r="U72" s="143" t="s">
        <v>140</v>
      </c>
      <c r="V72" s="62"/>
      <c r="W72" s="145"/>
      <c r="X72" s="140"/>
      <c r="Y72" s="137"/>
      <c r="Z72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2" s="63"/>
      <c r="AB72" s="101" t="e">
        <f t="shared" si="4"/>
        <v>#N/A</v>
      </c>
      <c r="AC72" s="60">
        <v>1</v>
      </c>
      <c r="AD72" s="51">
        <f t="shared" si="5"/>
        <v>0</v>
      </c>
      <c r="AE72" s="56">
        <f t="shared" si="6"/>
        <v>0</v>
      </c>
      <c r="AF72" s="56">
        <f t="shared" si="7"/>
        <v>0</v>
      </c>
      <c r="AG72" s="56">
        <f t="shared" si="8"/>
        <v>0</v>
      </c>
      <c r="AH72" s="89">
        <f t="shared" si="9"/>
        <v>219.39310229205779</v>
      </c>
      <c r="AI72" s="90" t="e">
        <f>VLOOKUP(Q72,Dados!$T$4:$U$19,2,FALSE)</f>
        <v>#N/A</v>
      </c>
      <c r="AJ72" s="91">
        <v>1</v>
      </c>
    </row>
    <row r="73" spans="1:36" customFormat="1">
      <c r="A73" s="52" t="s">
        <v>134</v>
      </c>
      <c r="B73" s="52"/>
      <c r="C73" s="52"/>
      <c r="D73" s="52"/>
      <c r="E73" s="53"/>
      <c r="F73" s="53"/>
      <c r="G73" s="53" t="s">
        <v>137</v>
      </c>
      <c r="H73" s="53"/>
      <c r="I73" s="54"/>
      <c r="J73" s="55">
        <f t="shared" si="0"/>
        <v>0</v>
      </c>
      <c r="K73" s="56">
        <v>0.92</v>
      </c>
      <c r="L73" s="57">
        <f t="shared" si="1"/>
        <v>0</v>
      </c>
      <c r="M73" s="57">
        <f t="shared" si="2"/>
        <v>0</v>
      </c>
      <c r="N73" s="57">
        <f t="shared" si="3"/>
        <v>0</v>
      </c>
      <c r="O73" s="56"/>
      <c r="P73" s="56" t="s">
        <v>138</v>
      </c>
      <c r="Q73" s="56" t="e">
        <f>IF(R73="PVC",VLOOKUP(O73,Dados!C$3:D$19,2),IF(R73="EPR",VLOOKUP(O73,Dados!C$22:D$38,2)))</f>
        <v>#N/A</v>
      </c>
      <c r="R73" s="56" t="s">
        <v>139</v>
      </c>
      <c r="S73" s="51">
        <f t="shared" si="10"/>
        <v>0</v>
      </c>
      <c r="T73" s="56" t="e">
        <f>IF(R73="PVC",VLOOKUP(Q73,Dados!L$3:M$18,2),IF(R73="EPR",VLOOKUP(Q73,Dados!L$3:N$18,3)))</f>
        <v>#N/A</v>
      </c>
      <c r="U73" s="143" t="s">
        <v>140</v>
      </c>
      <c r="V73" s="62"/>
      <c r="W73" s="145"/>
      <c r="X73" s="140"/>
      <c r="Y73" s="137"/>
      <c r="Z73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3" s="63"/>
      <c r="AB73" s="101" t="e">
        <f t="shared" si="4"/>
        <v>#N/A</v>
      </c>
      <c r="AC73" s="60">
        <v>1</v>
      </c>
      <c r="AD73" s="51">
        <f t="shared" si="5"/>
        <v>0</v>
      </c>
      <c r="AE73" s="56">
        <f t="shared" si="6"/>
        <v>0</v>
      </c>
      <c r="AF73" s="56">
        <f t="shared" si="7"/>
        <v>0</v>
      </c>
      <c r="AG73" s="56">
        <f t="shared" si="8"/>
        <v>0</v>
      </c>
      <c r="AH73" s="89">
        <f t="shared" si="9"/>
        <v>219.39310229205779</v>
      </c>
      <c r="AI73" s="90" t="e">
        <f>VLOOKUP(Q73,Dados!$T$4:$U$19,2,FALSE)</f>
        <v>#N/A</v>
      </c>
      <c r="AJ73" s="91">
        <v>1</v>
      </c>
    </row>
    <row r="74" spans="1:36" customFormat="1">
      <c r="A74" s="61"/>
      <c r="B74" s="52" t="s">
        <v>134</v>
      </c>
      <c r="C74" s="52"/>
      <c r="D74" s="52"/>
      <c r="E74" s="53"/>
      <c r="F74" s="53"/>
      <c r="G74" s="53" t="s">
        <v>137</v>
      </c>
      <c r="H74" s="53"/>
      <c r="I74" s="54"/>
      <c r="J74" s="55">
        <f t="shared" si="0"/>
        <v>0</v>
      </c>
      <c r="K74" s="56">
        <v>0.92</v>
      </c>
      <c r="L74" s="57">
        <f t="shared" si="1"/>
        <v>0</v>
      </c>
      <c r="M74" s="57">
        <f t="shared" si="2"/>
        <v>0</v>
      </c>
      <c r="N74" s="57">
        <f t="shared" si="3"/>
        <v>0</v>
      </c>
      <c r="O74" s="56"/>
      <c r="P74" s="56" t="s">
        <v>138</v>
      </c>
      <c r="Q74" s="56" t="e">
        <f>IF(R74="PVC",VLOOKUP(O74,Dados!C$3:D$19,2),IF(R74="EPR",VLOOKUP(O74,Dados!C$22:D$38,2)))</f>
        <v>#N/A</v>
      </c>
      <c r="R74" s="56" t="s">
        <v>139</v>
      </c>
      <c r="S74" s="51">
        <f t="shared" si="10"/>
        <v>0</v>
      </c>
      <c r="T74" s="56" t="e">
        <f>IF(R74="PVC",VLOOKUP(Q74,Dados!L$3:M$18,2),IF(R74="EPR",VLOOKUP(Q74,Dados!L$3:N$18,3)))</f>
        <v>#N/A</v>
      </c>
      <c r="U74" s="143" t="s">
        <v>140</v>
      </c>
      <c r="V74" s="62"/>
      <c r="W74" s="145"/>
      <c r="X74" s="140"/>
      <c r="Y74" s="137"/>
      <c r="Z74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4" s="63"/>
      <c r="AB74" s="101" t="e">
        <f t="shared" si="4"/>
        <v>#N/A</v>
      </c>
      <c r="AC74" s="60">
        <v>1</v>
      </c>
      <c r="AD74" s="51">
        <f t="shared" si="5"/>
        <v>0</v>
      </c>
      <c r="AE74" s="56">
        <f t="shared" si="6"/>
        <v>0</v>
      </c>
      <c r="AF74" s="56">
        <f t="shared" si="7"/>
        <v>0</v>
      </c>
      <c r="AG74" s="56">
        <f t="shared" si="8"/>
        <v>0</v>
      </c>
      <c r="AH74" s="89">
        <f t="shared" si="9"/>
        <v>219.39310229205779</v>
      </c>
      <c r="AI74" s="90" t="e">
        <f>VLOOKUP(Q74,Dados!$T$4:$U$19,2,FALSE)</f>
        <v>#N/A</v>
      </c>
      <c r="AJ74" s="91">
        <v>1</v>
      </c>
    </row>
    <row r="75" spans="1:36" customFormat="1">
      <c r="A75" s="52"/>
      <c r="B75" s="52"/>
      <c r="C75" s="52" t="s">
        <v>134</v>
      </c>
      <c r="D75" s="52"/>
      <c r="E75" s="53"/>
      <c r="F75" s="53"/>
      <c r="G75" s="53" t="s">
        <v>137</v>
      </c>
      <c r="H75" s="53"/>
      <c r="I75" s="54"/>
      <c r="J75" s="55">
        <f t="shared" si="0"/>
        <v>0</v>
      </c>
      <c r="K75" s="56">
        <v>0.92</v>
      </c>
      <c r="L75" s="57">
        <f t="shared" si="1"/>
        <v>0</v>
      </c>
      <c r="M75" s="57">
        <f t="shared" si="2"/>
        <v>0</v>
      </c>
      <c r="N75" s="57">
        <f t="shared" si="3"/>
        <v>0</v>
      </c>
      <c r="O75" s="56"/>
      <c r="P75" s="56" t="s">
        <v>138</v>
      </c>
      <c r="Q75" s="56" t="e">
        <f>IF(R75="PVC",VLOOKUP(O75,Dados!C$3:D$19,2),IF(R75="EPR",VLOOKUP(O75,Dados!C$22:D$38,2)))</f>
        <v>#N/A</v>
      </c>
      <c r="R75" s="56" t="s">
        <v>139</v>
      </c>
      <c r="S75" s="51">
        <f t="shared" si="10"/>
        <v>0</v>
      </c>
      <c r="T75" s="56" t="e">
        <f>IF(R75="PVC",VLOOKUP(Q75,Dados!L$3:M$18,2),IF(R75="EPR",VLOOKUP(Q75,Dados!L$3:N$18,3)))</f>
        <v>#N/A</v>
      </c>
      <c r="U75" s="143" t="s">
        <v>140</v>
      </c>
      <c r="V75" s="62"/>
      <c r="W75" s="145"/>
      <c r="X75" s="140"/>
      <c r="Y75" s="137"/>
      <c r="Z75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5" s="63"/>
      <c r="AB75" s="101" t="e">
        <f t="shared" si="4"/>
        <v>#N/A</v>
      </c>
      <c r="AC75" s="60">
        <v>1</v>
      </c>
      <c r="AD75" s="51">
        <f t="shared" si="5"/>
        <v>0</v>
      </c>
      <c r="AE75" s="56">
        <f t="shared" si="6"/>
        <v>0</v>
      </c>
      <c r="AF75" s="56">
        <f t="shared" si="7"/>
        <v>0</v>
      </c>
      <c r="AG75" s="56">
        <f t="shared" si="8"/>
        <v>0</v>
      </c>
      <c r="AH75" s="89">
        <f t="shared" si="9"/>
        <v>219.39310229205779</v>
      </c>
      <c r="AI75" s="90" t="e">
        <f>VLOOKUP(Q75,Dados!$T$4:$U$19,2,FALSE)</f>
        <v>#N/A</v>
      </c>
      <c r="AJ75" s="91">
        <v>1</v>
      </c>
    </row>
    <row r="76" spans="1:36" customFormat="1">
      <c r="A76" s="61" t="s">
        <v>134</v>
      </c>
      <c r="B76" s="52"/>
      <c r="C76" s="52"/>
      <c r="D76" s="52"/>
      <c r="E76" s="53"/>
      <c r="F76" s="53"/>
      <c r="G76" s="53" t="s">
        <v>137</v>
      </c>
      <c r="H76" s="53"/>
      <c r="I76" s="54"/>
      <c r="J76" s="55">
        <f t="shared" si="0"/>
        <v>0</v>
      </c>
      <c r="K76" s="56">
        <v>0.92</v>
      </c>
      <c r="L76" s="57">
        <f t="shared" si="1"/>
        <v>0</v>
      </c>
      <c r="M76" s="57">
        <f t="shared" si="2"/>
        <v>0</v>
      </c>
      <c r="N76" s="57">
        <f t="shared" si="3"/>
        <v>0</v>
      </c>
      <c r="O76" s="56"/>
      <c r="P76" s="56" t="s">
        <v>138</v>
      </c>
      <c r="Q76" s="56" t="e">
        <f>IF(R76="PVC",VLOOKUP(O76,Dados!C$3:D$19,2),IF(R76="EPR",VLOOKUP(O76,Dados!C$22:D$38,2)))</f>
        <v>#N/A</v>
      </c>
      <c r="R76" s="56" t="s">
        <v>139</v>
      </c>
      <c r="S76" s="51">
        <f t="shared" si="10"/>
        <v>0</v>
      </c>
      <c r="T76" s="56" t="e">
        <f>IF(R76="PVC",VLOOKUP(Q76,Dados!L$3:M$18,2),IF(R76="EPR",VLOOKUP(Q76,Dados!L$3:N$18,3)))</f>
        <v>#N/A</v>
      </c>
      <c r="U76" s="143" t="s">
        <v>140</v>
      </c>
      <c r="V76" s="62"/>
      <c r="W76" s="145"/>
      <c r="X76" s="140"/>
      <c r="Y76" s="137"/>
      <c r="Z76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6" s="63"/>
      <c r="AB76" s="101" t="e">
        <f t="shared" si="4"/>
        <v>#N/A</v>
      </c>
      <c r="AC76" s="60">
        <v>1</v>
      </c>
      <c r="AD76" s="51">
        <f t="shared" si="5"/>
        <v>0</v>
      </c>
      <c r="AE76" s="56">
        <f t="shared" si="6"/>
        <v>0</v>
      </c>
      <c r="AF76" s="56">
        <f t="shared" si="7"/>
        <v>0</v>
      </c>
      <c r="AG76" s="56">
        <f t="shared" si="8"/>
        <v>0</v>
      </c>
      <c r="AH76" s="89">
        <f t="shared" si="9"/>
        <v>219.39310229205779</v>
      </c>
      <c r="AI76" s="90" t="e">
        <f>VLOOKUP(Q76,Dados!$T$4:$U$19,2,FALSE)</f>
        <v>#N/A</v>
      </c>
      <c r="AJ76" s="91">
        <v>1</v>
      </c>
    </row>
    <row r="77" spans="1:36" customFormat="1">
      <c r="A77" s="52"/>
      <c r="B77" s="52" t="s">
        <v>134</v>
      </c>
      <c r="C77" s="52"/>
      <c r="D77" s="52"/>
      <c r="E77" s="53"/>
      <c r="F77" s="53"/>
      <c r="G77" s="53" t="s">
        <v>137</v>
      </c>
      <c r="H77" s="53"/>
      <c r="I77" s="54"/>
      <c r="J77" s="55">
        <f t="shared" si="0"/>
        <v>0</v>
      </c>
      <c r="K77" s="56">
        <v>0.92</v>
      </c>
      <c r="L77" s="57">
        <f t="shared" si="1"/>
        <v>0</v>
      </c>
      <c r="M77" s="57">
        <f t="shared" si="2"/>
        <v>0</v>
      </c>
      <c r="N77" s="57">
        <f t="shared" si="3"/>
        <v>0</v>
      </c>
      <c r="O77" s="56"/>
      <c r="P77" s="56" t="s">
        <v>138</v>
      </c>
      <c r="Q77" s="56" t="e">
        <f>IF(R77="PVC",VLOOKUP(O77,Dados!C$3:D$19,2),IF(R77="EPR",VLOOKUP(O77,Dados!C$22:D$38,2)))</f>
        <v>#N/A</v>
      </c>
      <c r="R77" s="56" t="s">
        <v>139</v>
      </c>
      <c r="S77" s="51">
        <f t="shared" si="10"/>
        <v>0</v>
      </c>
      <c r="T77" s="56" t="e">
        <f>IF(R77="PVC",VLOOKUP(Q77,Dados!L$3:M$18,2),IF(R77="EPR",VLOOKUP(Q77,Dados!L$3:N$18,3)))</f>
        <v>#N/A</v>
      </c>
      <c r="U77" s="143" t="s">
        <v>140</v>
      </c>
      <c r="V77" s="62"/>
      <c r="W77" s="145"/>
      <c r="X77" s="149"/>
      <c r="Y77" s="150"/>
      <c r="Z77" s="141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7" s="63"/>
      <c r="AB77" s="101" t="e">
        <f t="shared" si="4"/>
        <v>#N/A</v>
      </c>
      <c r="AC77" s="60">
        <v>1</v>
      </c>
      <c r="AD77" s="51">
        <f t="shared" si="5"/>
        <v>0</v>
      </c>
      <c r="AE77" s="56">
        <f t="shared" si="6"/>
        <v>0</v>
      </c>
      <c r="AF77" s="56">
        <f t="shared" si="7"/>
        <v>0</v>
      </c>
      <c r="AG77" s="56">
        <f t="shared" si="8"/>
        <v>0</v>
      </c>
      <c r="AH77" s="89">
        <f t="shared" si="9"/>
        <v>219.39310229205779</v>
      </c>
      <c r="AI77" s="90" t="e">
        <f>VLOOKUP(Q77,Dados!$T$4:$U$19,2,FALSE)</f>
        <v>#N/A</v>
      </c>
      <c r="AJ77" s="91">
        <v>1</v>
      </c>
    </row>
    <row r="78" spans="1:36" customFormat="1" ht="13.5" thickBot="1">
      <c r="A78" s="52"/>
      <c r="B78" s="52"/>
      <c r="C78" s="52"/>
      <c r="D78" s="65"/>
      <c r="E78" s="270" t="s">
        <v>160</v>
      </c>
      <c r="F78" s="96" t="str">
        <f>CONCATENATE("ESPAÇO RESERVA ",IF(COUNTIF(F19:F77,"*")&lt;6,2,IF(COUNTIF(F19:F77,"*")&lt;12,3,IF(COUNTIF(F19:F77,"*")&lt;30,4,ROUNDUP(COUNTIF(F19:F77,"*")*0.15,0)))))</f>
        <v>ESPAÇO RESERVA 2</v>
      </c>
      <c r="G78" s="66"/>
      <c r="H78" s="66"/>
      <c r="I78" s="59"/>
      <c r="J78" s="64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9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8" s="67"/>
      <c r="AB78" s="59"/>
      <c r="AC78" s="68"/>
      <c r="AD78" s="51"/>
      <c r="AE78" s="68"/>
      <c r="AF78" s="68"/>
      <c r="AG78" s="68"/>
      <c r="AH78" s="89"/>
      <c r="AI78" s="90"/>
      <c r="AJ78" s="92"/>
    </row>
    <row r="79" spans="1:36" customFormat="1" ht="13.5" thickBot="1">
      <c r="F79" s="69" t="s">
        <v>161</v>
      </c>
      <c r="G79" s="69"/>
      <c r="H79" s="69"/>
      <c r="I79" s="99">
        <f>SUM(I18:I77)</f>
        <v>0</v>
      </c>
      <c r="J79" s="99">
        <f>SUM(J18:J77)</f>
        <v>0</v>
      </c>
      <c r="K79" s="69"/>
      <c r="L79" s="70">
        <f>SUM(L19:L77)</f>
        <v>0</v>
      </c>
      <c r="M79" s="70">
        <f>SUM(M19:M77)</f>
        <v>0</v>
      </c>
      <c r="N79" s="70">
        <f>SUM(N19:N77)</f>
        <v>0</v>
      </c>
      <c r="O79" s="71"/>
      <c r="Z79" s="9">
        <f>IFERROR(IF(_QD01245[[#This Row],[Colunas19]]&lt;0.3*_QD01245[[#This Row],[Colunas20]],_QD01245[[#This Row],[Colunas19]],_QD01245[[#This Row],[Colunas19]]/(INDEX(Dados!$Y:$AD,IFERROR(MATCH(COUNTIF($X$18:$X$76,_QD01245[[#This Row],[Colunas254]]),Dados!$Y:$Y,0),(MATCH(COUNTIF($X$18:$X$76,_QD01245[[#This Row],[Colunas254]]),Dados!$Y:$Y,)+1)),1+VALUE(MID(_QD01245[[#This Row],[Colunas253]],6,1))))),0)</f>
        <v>0</v>
      </c>
      <c r="AA79" s="146"/>
      <c r="AB79" s="147"/>
      <c r="AC79" s="123" t="e">
        <f>SUM(AE79:AG79)/SUM(L79:N79)</f>
        <v>#DIV/0!</v>
      </c>
      <c r="AD79" s="83"/>
      <c r="AE79" s="72">
        <f>SUM(AE19:AE78)</f>
        <v>0</v>
      </c>
      <c r="AF79" s="73">
        <f>SUM(AF19:AF78)</f>
        <v>0</v>
      </c>
      <c r="AG79" s="73">
        <f>SUM(AG19:AG78)</f>
        <v>0</v>
      </c>
      <c r="AH79" s="93"/>
      <c r="AI79" s="94"/>
      <c r="AJ79" s="95"/>
    </row>
    <row r="80" spans="1:36">
      <c r="L80" s="40"/>
      <c r="M80" s="40"/>
      <c r="N80" s="40"/>
      <c r="O80" s="40"/>
      <c r="AC80" s="41"/>
      <c r="AD80" s="41"/>
      <c r="AE80" s="213" t="s">
        <v>161</v>
      </c>
      <c r="AF80" s="213"/>
      <c r="AG80" s="213"/>
    </row>
    <row r="82" spans="6:19" ht="13.5" thickBot="1">
      <c r="F82" s="23"/>
    </row>
    <row r="83" spans="6:19" ht="14.25" thickTop="1" thickBot="1">
      <c r="F83" s="164" t="s">
        <v>162</v>
      </c>
      <c r="G83" s="165"/>
      <c r="H83" s="165"/>
      <c r="I83" s="165"/>
      <c r="J83" s="165"/>
      <c r="K83" s="165"/>
      <c r="L83" s="166"/>
    </row>
    <row r="84" spans="6:19" ht="13.5" thickBot="1">
      <c r="F84" s="167"/>
      <c r="G84" s="168"/>
      <c r="H84" s="168"/>
      <c r="I84" s="168"/>
      <c r="J84" s="168"/>
      <c r="K84" s="168"/>
      <c r="L84" s="169"/>
    </row>
    <row r="85" spans="6:19" ht="13.5" thickBot="1">
      <c r="F85" s="152"/>
      <c r="G85" s="248" t="s">
        <v>163</v>
      </c>
      <c r="H85" s="248"/>
      <c r="I85" s="248"/>
      <c r="J85" s="248"/>
      <c r="K85" s="248"/>
      <c r="L85" s="249"/>
    </row>
    <row r="86" spans="6:19" ht="13.5" thickBot="1">
      <c r="F86" s="153"/>
      <c r="G86" s="250" t="s">
        <v>164</v>
      </c>
      <c r="H86" s="250"/>
      <c r="I86" s="250"/>
      <c r="J86" s="250"/>
      <c r="K86" s="250"/>
      <c r="L86" s="251"/>
      <c r="S86" s="42"/>
    </row>
    <row r="87" spans="6:19" ht="13.5" thickBot="1">
      <c r="F87" s="154"/>
      <c r="G87" s="252" t="s">
        <v>165</v>
      </c>
      <c r="H87" s="253"/>
      <c r="I87" s="253"/>
      <c r="J87" s="253"/>
      <c r="K87" s="253"/>
      <c r="L87" s="254"/>
      <c r="S87" s="42"/>
    </row>
    <row r="88" spans="6:19" ht="13.5" thickBot="1">
      <c r="F88" s="155"/>
      <c r="G88" s="252" t="s">
        <v>166</v>
      </c>
      <c r="H88" s="255"/>
      <c r="I88" s="255"/>
      <c r="J88" s="255"/>
      <c r="K88" s="255"/>
      <c r="L88" s="256"/>
    </row>
    <row r="89" spans="6:19" ht="13.5" thickBot="1">
      <c r="F89" s="156"/>
      <c r="G89" s="257" t="s">
        <v>167</v>
      </c>
      <c r="H89" s="258"/>
      <c r="I89" s="258"/>
      <c r="J89" s="258"/>
      <c r="K89" s="258"/>
      <c r="L89" s="259"/>
    </row>
    <row r="90" spans="6:19" ht="13.5" thickTop="1"/>
  </sheetData>
  <sheetProtection selectLockedCells="1"/>
  <dataConsolidate/>
  <mergeCells count="73">
    <mergeCell ref="G85:L85"/>
    <mergeCell ref="G86:L86"/>
    <mergeCell ref="G87:L87"/>
    <mergeCell ref="G88:L88"/>
    <mergeCell ref="G89:L89"/>
    <mergeCell ref="A4:D15"/>
    <mergeCell ref="E4:E13"/>
    <mergeCell ref="G4:G5"/>
    <mergeCell ref="I4:J4"/>
    <mergeCell ref="K4:K13"/>
    <mergeCell ref="I12:J12"/>
    <mergeCell ref="L5:M7"/>
    <mergeCell ref="S6:S7"/>
    <mergeCell ref="T6:T7"/>
    <mergeCell ref="I10:J10"/>
    <mergeCell ref="E1:F1"/>
    <mergeCell ref="L2:M3"/>
    <mergeCell ref="L4:M4"/>
    <mergeCell ref="O10:P10"/>
    <mergeCell ref="S10:S11"/>
    <mergeCell ref="T10:T11"/>
    <mergeCell ref="I11:J11"/>
    <mergeCell ref="L11:M11"/>
    <mergeCell ref="O11:P11"/>
    <mergeCell ref="U6:U7"/>
    <mergeCell ref="V6:W7"/>
    <mergeCell ref="I7:J7"/>
    <mergeCell ref="R7:R13"/>
    <mergeCell ref="I8:J8"/>
    <mergeCell ref="L8:M8"/>
    <mergeCell ref="S8:S9"/>
    <mergeCell ref="T8:T9"/>
    <mergeCell ref="I9:J9"/>
    <mergeCell ref="L9:M10"/>
    <mergeCell ref="N4:N13"/>
    <mergeCell ref="Q4:Q13"/>
    <mergeCell ref="R4:R6"/>
    <mergeCell ref="S4:S5"/>
    <mergeCell ref="T4:T5"/>
    <mergeCell ref="I5:J5"/>
    <mergeCell ref="O12:P12"/>
    <mergeCell ref="S12:S13"/>
    <mergeCell ref="T12:T13"/>
    <mergeCell ref="I13:J13"/>
    <mergeCell ref="G15:K15"/>
    <mergeCell ref="O15:T15"/>
    <mergeCell ref="L12:M13"/>
    <mergeCell ref="A16:A17"/>
    <mergeCell ref="B16:B17"/>
    <mergeCell ref="C16:C17"/>
    <mergeCell ref="E16:E17"/>
    <mergeCell ref="F16:F17"/>
    <mergeCell ref="AH16:AH17"/>
    <mergeCell ref="AI16:AI17"/>
    <mergeCell ref="AJ16:AJ17"/>
    <mergeCell ref="S16:S17"/>
    <mergeCell ref="T16:T17"/>
    <mergeCell ref="U16:W16"/>
    <mergeCell ref="X16:Z16"/>
    <mergeCell ref="AA16:AA17"/>
    <mergeCell ref="AB16:AB17"/>
    <mergeCell ref="G16:G17"/>
    <mergeCell ref="F83:L84"/>
    <mergeCell ref="AE80:AG80"/>
    <mergeCell ref="AC16:AC17"/>
    <mergeCell ref="AD16:AD17"/>
    <mergeCell ref="AE16:AG16"/>
    <mergeCell ref="I16:J16"/>
    <mergeCell ref="L16:N16"/>
    <mergeCell ref="O16:O17"/>
    <mergeCell ref="P16:P17"/>
    <mergeCell ref="Q16:Q17"/>
    <mergeCell ref="R16:R17"/>
  </mergeCells>
  <conditionalFormatting sqref="O18">
    <cfRule type="cellIs" dxfId="50" priority="12" operator="greaterThan">
      <formula>16</formula>
    </cfRule>
    <cfRule type="cellIs" dxfId="49" priority="13" operator="notEqual">
      <formula>#REF!</formula>
    </cfRule>
  </conditionalFormatting>
  <conditionalFormatting sqref="T6:W7">
    <cfRule type="expression" dxfId="48" priority="2">
      <formula>ISBLANK($T$6)</formula>
    </cfRule>
  </conditionalFormatting>
  <conditionalFormatting sqref="U18">
    <cfRule type="cellIs" dxfId="47" priority="11" operator="notEqual">
      <formula>#REF!</formula>
    </cfRule>
  </conditionalFormatting>
  <conditionalFormatting sqref="U18:U77">
    <cfRule type="cellIs" dxfId="46" priority="6" operator="equal">
      <formula>"SIM"</formula>
    </cfRule>
  </conditionalFormatting>
  <conditionalFormatting sqref="U19">
    <cfRule type="cellIs" dxfId="45" priority="22" operator="notEqual">
      <formula>#REF!</formula>
    </cfRule>
  </conditionalFormatting>
  <conditionalFormatting sqref="U19:U77">
    <cfRule type="cellIs" dxfId="44" priority="17" operator="notEqual">
      <formula>#REF!</formula>
    </cfRule>
  </conditionalFormatting>
  <conditionalFormatting sqref="V18">
    <cfRule type="cellIs" dxfId="43" priority="8" operator="notEqual">
      <formula>#REF!</formula>
    </cfRule>
  </conditionalFormatting>
  <conditionalFormatting sqref="V18:V77">
    <cfRule type="cellIs" dxfId="42" priority="7" operator="greaterThan">
      <formula>16</formula>
    </cfRule>
  </conditionalFormatting>
  <conditionalFormatting sqref="V19">
    <cfRule type="cellIs" dxfId="41" priority="19" operator="notEqual">
      <formula>#REF!</formula>
    </cfRule>
  </conditionalFormatting>
  <conditionalFormatting sqref="V20:V77">
    <cfRule type="cellIs" dxfId="40" priority="16" operator="notEqual">
      <formula>#REF!</formula>
    </cfRule>
  </conditionalFormatting>
  <conditionalFormatting sqref="W19">
    <cfRule type="cellIs" dxfId="39" priority="20" operator="greaterThan">
      <formula>16</formula>
    </cfRule>
    <cfRule type="cellIs" dxfId="38" priority="21" operator="notEqual">
      <formula>#REF!</formula>
    </cfRule>
  </conditionalFormatting>
  <conditionalFormatting sqref="W18:Z18">
    <cfRule type="cellIs" dxfId="37" priority="9" operator="greaterThan">
      <formula>16</formula>
    </cfRule>
    <cfRule type="cellIs" dxfId="36" priority="10" operator="notEqual">
      <formula>#REF!</formula>
    </cfRule>
  </conditionalFormatting>
  <conditionalFormatting sqref="Z19:Z79">
    <cfRule type="expression" dxfId="35" priority="1">
      <formula>$Z19&gt;$T19</formula>
    </cfRule>
  </conditionalFormatting>
  <conditionalFormatting sqref="AB19:AB77">
    <cfRule type="expression" dxfId="34" priority="3">
      <formula>($AB19)&gt;=0.03</formula>
    </cfRule>
  </conditionalFormatting>
  <conditionalFormatting sqref="AJ18:AJ78">
    <cfRule type="cellIs" dxfId="33" priority="4" operator="equal">
      <formula>0</formula>
    </cfRule>
  </conditionalFormatting>
  <dataValidations disablePrompts="1" count="16">
    <dataValidation type="list" allowBlank="1" showInputMessage="1" showErrorMessage="1" sqref="O19:O78" xr:uid="{9FC07266-D6BE-4D54-ACC8-FC8DCBE86345}">
      <formula1>"10,16,20,25,32,40,50,63,70,80,100,125,150,160,200,225,250,300,315,350,400,450,600,630,800,1000,1200,1250,1500,1600,2000,2600,3000,3200,4000,6000,EXISTENTE"</formula1>
    </dataValidation>
    <dataValidation type="list" showInputMessage="1" showErrorMessage="1" errorTitle="Erro" error="Selecione um sistema" promptTitle="Sistema de alimentação" prompt="Selecione o sistema de alimentação" sqref="G19:G78" xr:uid="{23AD38E3-6123-4D6C-8175-FC474665A38D}">
      <formula1>ALI</formula1>
    </dataValidation>
    <dataValidation type="list" allowBlank="1" showInputMessage="1" showErrorMessage="1" sqref="W20:W77" xr:uid="{85F19A3C-EA28-4DAD-8CAC-AE14612BDE36}">
      <formula1>"25A 30mA,40A 30mA,63A 30mA,80A 30mA"</formula1>
    </dataValidation>
    <dataValidation type="list" allowBlank="1" showInputMessage="1" showErrorMessage="1" sqref="W19" xr:uid="{72CF3EB2-B33E-48AD-9F34-E1CD7E7405D4}">
      <formula1>",25A 30mA,40A 30mA,63A 30mA,80A 30mA"</formula1>
    </dataValidation>
    <dataValidation type="list" allowBlank="1" showInputMessage="1" showErrorMessage="1" sqref="V19:V77" xr:uid="{3832611A-0A50-4908-9A54-90E5C96A3586}">
      <formula1>"2P,4P"</formula1>
    </dataValidation>
    <dataValidation type="list" showInputMessage="1" showErrorMessage="1" sqref="I5:J5" xr:uid="{ED9F7A5B-449D-45AB-A886-B7E145865CE7}">
      <formula1>"EXISTENTE,16,20,25,32,40,50,63,70,80,100,125,150,160,200,225,250,300,315,350,400,450,600,630,800,1000,1200,1250,1500,1600,2000,2600,3000,3200,4000,6000"</formula1>
    </dataValidation>
    <dataValidation type="list" allowBlank="1" showInputMessage="1" showErrorMessage="1" sqref="P5 P7" xr:uid="{AB38F3FC-2870-4E19-B47F-2A5CAD3E0E76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"2,5",4,6,10,16,25,35,50,70,95,120,150,185,240,EXISTENTE,</x12ac:list>
        </mc:Choice>
        <mc:Fallback>
          <formula1>"2,5,4,6,10,16,25,35,50,70,95,120,150,185,240,EXISTENTE,"</formula1>
        </mc:Fallback>
      </mc:AlternateContent>
    </dataValidation>
    <dataValidation type="list" allowBlank="1" showInputMessage="1" showErrorMessage="1" sqref="I4:J4" xr:uid="{C4FAC4BB-2BFC-4BE3-B8EB-388EF1CEE154}">
      <formula1>"F+N,2F,3F"</formula1>
    </dataValidation>
    <dataValidation type="list" allowBlank="1" showInputMessage="1" showErrorMessage="1" sqref="L12:M13" xr:uid="{FACF3093-E566-4723-8A3F-234E6C1895AC}">
      <formula1>"SOBREPOR,EMBUTIR"</formula1>
    </dataValidation>
    <dataValidation type="list" allowBlank="1" showInputMessage="1" showErrorMessage="1" sqref="P9" xr:uid="{59606075-3370-4346-A035-41A4FC3B4A50}">
      <mc:AlternateContent xmlns:x12ac="http://schemas.microsoft.com/office/spreadsheetml/2011/1/ac" xmlns:mc="http://schemas.openxmlformats.org/markup-compatibility/2006">
        <mc:Choice Requires="x12ac">
          <x12ac:list>"2,5",4,6,10,16,25,35,50,70,95,120,150,185,240,EXISTENTE</x12ac:list>
        </mc:Choice>
        <mc:Fallback>
          <formula1>"2,5,4,6,10,16,25,35,50,70,95,120,150,185,240,EXISTENTE"</formula1>
        </mc:Fallback>
      </mc:AlternateContent>
    </dataValidation>
    <dataValidation type="list" allowBlank="1" showInputMessage="1" showErrorMessage="1" sqref="O11:P11" xr:uid="{3EDF1DF7-7E5C-434E-BD54-D3D8DA40F5D8}">
      <formula1>"EXISTENTE,EPR,PVC,"</formula1>
    </dataValidation>
    <dataValidation type="list" allowBlank="1" showInputMessage="1" showErrorMessage="1" sqref="U19:U77" xr:uid="{A6C8642F-9E5B-4508-A3EA-D9B56C3982ED}">
      <formula1>"SIM,NÃO,"</formula1>
    </dataValidation>
    <dataValidation type="decimal" allowBlank="1" showInputMessage="1" showErrorMessage="1" sqref="AC19:AC77" xr:uid="{BA577129-168E-46A3-9E62-1C2EF332921D}">
      <formula1>0</formula1>
      <formula2>100</formula2>
    </dataValidation>
    <dataValidation type="decimal" operator="lessThanOrEqual" allowBlank="1" showInputMessage="1" showErrorMessage="1" sqref="K19:K77" xr:uid="{3A024AB3-341D-4132-BB07-87AACBFA617D}">
      <formula1>1</formula1>
    </dataValidation>
    <dataValidation type="list" allowBlank="1" showInputMessage="1" showErrorMessage="1" promptTitle="curva " prompt="selecione a curva do disjuntor" sqref="P19:P77" xr:uid="{43CA48BA-0799-42F8-A868-2D7128674A84}">
      <formula1>cu</formula1>
    </dataValidation>
    <dataValidation type="list" showInputMessage="1" showErrorMessage="1" promptTitle="Isolação do cabo" prompt="Selecione o tipo de isolação_x000a_PVC = 70ºC_x000a_EPR = 90ºC" sqref="R19:R78 S78:AA78" xr:uid="{2708C465-EB2F-42F0-9F85-CFC2B8F16E67}">
      <formula1>iso</formula1>
    </dataValidation>
  </dataValidations>
  <pageMargins left="0.25" right="0.25" top="0.75" bottom="0.75" header="0.3" footer="0.3"/>
  <pageSetup paperSize="9" scale="74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E0CED57-9D38-48F4-8FAC-53679370D83E}">
          <x14:formula1>
            <xm:f>Dados!$Z$3:$AD$3</xm:f>
          </x14:formula1>
          <xm:sqref>Y19:Y77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B1:AW254"/>
  <sheetViews>
    <sheetView workbookViewId="0">
      <selection activeCell="AB3" sqref="AB3"/>
    </sheetView>
  </sheetViews>
  <sheetFormatPr defaultRowHeight="12.75"/>
  <cols>
    <col min="2" max="2" width="14.7109375" customWidth="1"/>
    <col min="3" max="3" width="13.140625" customWidth="1"/>
    <col min="4" max="4" width="14.7109375" customWidth="1"/>
    <col min="8" max="8" width="13.7109375" bestFit="1" customWidth="1"/>
    <col min="11" max="11" width="9.42578125" bestFit="1" customWidth="1"/>
    <col min="12" max="12" width="13.7109375" bestFit="1" customWidth="1"/>
    <col min="13" max="13" width="9.42578125" bestFit="1" customWidth="1"/>
    <col min="15" max="15" width="13.7109375" bestFit="1" customWidth="1"/>
    <col min="16" max="17" width="9.5703125" bestFit="1" customWidth="1"/>
  </cols>
  <sheetData>
    <row r="1" spans="3:49" ht="13.5" thickBot="1">
      <c r="H1" t="s">
        <v>168</v>
      </c>
      <c r="Y1" t="s">
        <v>169</v>
      </c>
    </row>
    <row r="2" spans="3:49" ht="15.75" thickBot="1">
      <c r="C2" t="s">
        <v>170</v>
      </c>
      <c r="D2" t="s">
        <v>171</v>
      </c>
      <c r="E2" t="s">
        <v>139</v>
      </c>
      <c r="H2" t="s">
        <v>62</v>
      </c>
      <c r="L2" t="s">
        <v>171</v>
      </c>
      <c r="M2" t="s">
        <v>170</v>
      </c>
      <c r="N2" t="s">
        <v>172</v>
      </c>
      <c r="P2" s="8">
        <v>100000</v>
      </c>
      <c r="Q2" s="271" t="s">
        <v>173</v>
      </c>
      <c r="T2" s="260" t="s">
        <v>174</v>
      </c>
      <c r="U2" s="260"/>
      <c r="V2" s="260"/>
      <c r="W2" s="260"/>
      <c r="AO2" s="261" t="s">
        <v>136</v>
      </c>
      <c r="AP2" s="262"/>
      <c r="AQ2" s="262"/>
      <c r="AR2" s="262"/>
      <c r="AS2" s="262"/>
      <c r="AT2" s="262"/>
      <c r="AU2" s="262"/>
      <c r="AV2" s="263"/>
    </row>
    <row r="3" spans="3:49" ht="15.75" thickBot="1">
      <c r="D3">
        <v>1</v>
      </c>
      <c r="E3" t="s">
        <v>60</v>
      </c>
      <c r="F3" t="s">
        <v>175</v>
      </c>
      <c r="L3">
        <v>1</v>
      </c>
      <c r="M3">
        <v>12</v>
      </c>
      <c r="N3">
        <v>16</v>
      </c>
      <c r="P3" s="8">
        <v>100001.5</v>
      </c>
      <c r="Q3" s="272">
        <v>100023</v>
      </c>
      <c r="T3" s="74" t="s">
        <v>176</v>
      </c>
      <c r="U3" s="74" t="s">
        <v>8</v>
      </c>
      <c r="V3" s="74" t="s">
        <v>177</v>
      </c>
      <c r="W3" s="74" t="s">
        <v>178</v>
      </c>
      <c r="Y3" s="124" t="s">
        <v>179</v>
      </c>
      <c r="Z3" s="148" t="s">
        <v>180</v>
      </c>
      <c r="AA3" s="125" t="s">
        <v>181</v>
      </c>
      <c r="AB3" s="125" t="s">
        <v>182</v>
      </c>
      <c r="AC3" s="125" t="s">
        <v>183</v>
      </c>
      <c r="AD3" s="126" t="s">
        <v>184</v>
      </c>
      <c r="AO3" s="102" t="s">
        <v>185</v>
      </c>
      <c r="AP3" s="103" t="s">
        <v>186</v>
      </c>
      <c r="AQ3" s="103" t="s">
        <v>187</v>
      </c>
      <c r="AR3" s="103" t="s">
        <v>188</v>
      </c>
      <c r="AS3" s="103" t="s">
        <v>189</v>
      </c>
      <c r="AT3" s="103" t="s">
        <v>190</v>
      </c>
      <c r="AU3" s="103" t="s">
        <v>191</v>
      </c>
      <c r="AV3" s="104" t="s">
        <v>192</v>
      </c>
    </row>
    <row r="4" spans="3:49" ht="15.75" thickBot="1">
      <c r="C4">
        <v>9</v>
      </c>
      <c r="D4">
        <v>2.5</v>
      </c>
      <c r="F4" t="s">
        <v>138</v>
      </c>
      <c r="L4">
        <v>1.5</v>
      </c>
      <c r="M4">
        <v>15.5</v>
      </c>
      <c r="N4">
        <v>20</v>
      </c>
      <c r="P4" s="8">
        <v>100002.5</v>
      </c>
      <c r="Q4" s="272">
        <v>100014</v>
      </c>
      <c r="T4" s="74">
        <v>1.5</v>
      </c>
      <c r="U4" s="74">
        <v>24.1</v>
      </c>
      <c r="V4" s="74">
        <v>20</v>
      </c>
      <c r="W4" s="74">
        <v>4.7</v>
      </c>
      <c r="Y4" s="130"/>
      <c r="Z4" s="131"/>
      <c r="AA4" s="131"/>
      <c r="AB4" s="131"/>
      <c r="AC4" s="131"/>
      <c r="AD4" s="132"/>
      <c r="AO4" s="105">
        <v>49</v>
      </c>
      <c r="AP4" s="106">
        <v>19</v>
      </c>
      <c r="AQ4" s="106">
        <v>39</v>
      </c>
      <c r="AR4" s="106">
        <v>27</v>
      </c>
      <c r="AS4" s="106">
        <v>49</v>
      </c>
      <c r="AT4" s="106">
        <v>27</v>
      </c>
      <c r="AU4" s="106">
        <v>30</v>
      </c>
      <c r="AV4" s="107">
        <v>39</v>
      </c>
      <c r="AW4" s="108" t="s">
        <v>193</v>
      </c>
    </row>
    <row r="5" spans="3:49" ht="15">
      <c r="C5">
        <v>15.5</v>
      </c>
      <c r="D5">
        <v>2.5</v>
      </c>
      <c r="E5" t="s">
        <v>137</v>
      </c>
      <c r="F5" t="s">
        <v>194</v>
      </c>
      <c r="H5" s="9">
        <f>I5</f>
        <v>2.5</v>
      </c>
      <c r="I5">
        <v>2.5</v>
      </c>
      <c r="L5">
        <v>2.5</v>
      </c>
      <c r="M5">
        <v>21</v>
      </c>
      <c r="N5">
        <v>28</v>
      </c>
      <c r="P5" s="8">
        <v>100004</v>
      </c>
      <c r="Q5" s="272">
        <v>100009</v>
      </c>
      <c r="T5" s="74">
        <v>2.5</v>
      </c>
      <c r="U5" s="74">
        <v>15</v>
      </c>
      <c r="V5" s="74">
        <v>28</v>
      </c>
      <c r="W5" s="74">
        <v>5.0999999999999996</v>
      </c>
      <c r="Y5" s="133">
        <v>1</v>
      </c>
      <c r="Z5" s="134">
        <v>1</v>
      </c>
      <c r="AA5" s="134">
        <v>1</v>
      </c>
      <c r="AB5" s="134">
        <v>0.95</v>
      </c>
      <c r="AC5" s="134">
        <v>1</v>
      </c>
      <c r="AD5" s="135">
        <v>1</v>
      </c>
      <c r="AN5" s="109" t="s">
        <v>195</v>
      </c>
      <c r="AO5" s="110"/>
      <c r="AP5" s="111"/>
      <c r="AQ5" s="111"/>
      <c r="AR5" s="111"/>
      <c r="AS5" s="111"/>
      <c r="AT5" s="111"/>
      <c r="AU5" s="111"/>
      <c r="AV5" s="112"/>
      <c r="AW5" s="113" t="e">
        <f>SUMPRODUCT(AO5:AV5,#REF!)</f>
        <v>#REF!</v>
      </c>
    </row>
    <row r="6" spans="3:49" ht="15">
      <c r="C6">
        <v>20</v>
      </c>
      <c r="D6">
        <v>4</v>
      </c>
      <c r="E6" t="s">
        <v>196</v>
      </c>
      <c r="H6" s="9">
        <f t="shared" ref="H6:H18" si="0">I6</f>
        <v>4</v>
      </c>
      <c r="I6">
        <v>4</v>
      </c>
      <c r="L6">
        <v>4</v>
      </c>
      <c r="M6">
        <v>28</v>
      </c>
      <c r="N6">
        <v>37</v>
      </c>
      <c r="P6" s="8">
        <v>100006</v>
      </c>
      <c r="Q6" s="272">
        <v>100005.87</v>
      </c>
      <c r="T6" s="74">
        <v>4</v>
      </c>
      <c r="U6" s="74">
        <v>9.3000000000000007</v>
      </c>
      <c r="V6" s="74">
        <v>37</v>
      </c>
      <c r="W6" s="74">
        <v>5.6</v>
      </c>
      <c r="Y6" s="127">
        <v>2</v>
      </c>
      <c r="Z6" s="128">
        <v>0.8</v>
      </c>
      <c r="AA6" s="128">
        <v>0.85</v>
      </c>
      <c r="AB6" s="128">
        <v>0.81</v>
      </c>
      <c r="AC6" s="128">
        <v>0.88</v>
      </c>
      <c r="AD6" s="129">
        <v>0.87</v>
      </c>
      <c r="AN6" s="114" t="s">
        <v>197</v>
      </c>
      <c r="AO6" s="115"/>
      <c r="AP6" s="116"/>
      <c r="AQ6" s="116"/>
      <c r="AR6" s="116"/>
      <c r="AS6" s="116"/>
      <c r="AT6" s="116"/>
      <c r="AU6" s="116"/>
      <c r="AV6" s="117"/>
      <c r="AW6" s="113" t="e">
        <f>SUMPRODUCT(AO6:AV6,#REF!)</f>
        <v>#REF!</v>
      </c>
    </row>
    <row r="7" spans="3:49" ht="15">
      <c r="C7">
        <v>28</v>
      </c>
      <c r="D7">
        <v>6</v>
      </c>
      <c r="E7" t="s">
        <v>29</v>
      </c>
      <c r="H7" s="9">
        <f t="shared" si="0"/>
        <v>6</v>
      </c>
      <c r="I7">
        <v>6</v>
      </c>
      <c r="L7">
        <v>6</v>
      </c>
      <c r="M7">
        <v>36</v>
      </c>
      <c r="N7">
        <v>48</v>
      </c>
      <c r="P7" s="8">
        <v>100010</v>
      </c>
      <c r="Q7" s="272">
        <v>100003.54</v>
      </c>
      <c r="T7" s="74">
        <v>6</v>
      </c>
      <c r="U7" s="74">
        <v>6.2</v>
      </c>
      <c r="V7" s="74">
        <v>48</v>
      </c>
      <c r="W7" s="74">
        <v>6.2</v>
      </c>
      <c r="Y7" s="127">
        <v>3</v>
      </c>
      <c r="Z7" s="128">
        <v>0.7</v>
      </c>
      <c r="AA7" s="128">
        <v>0.79</v>
      </c>
      <c r="AB7" s="128">
        <v>0.72</v>
      </c>
      <c r="AC7" s="128">
        <v>0.82</v>
      </c>
      <c r="AD7" s="129">
        <v>0.82</v>
      </c>
      <c r="AN7" s="114" t="s">
        <v>198</v>
      </c>
      <c r="AO7" s="115"/>
      <c r="AP7" s="116"/>
      <c r="AQ7" s="116"/>
      <c r="AR7" s="116"/>
      <c r="AS7" s="116"/>
      <c r="AT7" s="116"/>
      <c r="AU7" s="116"/>
      <c r="AV7" s="117"/>
      <c r="AW7" s="113" t="e">
        <f>SUMPRODUCT(AO7:AV7,#REF!)</f>
        <v>#REF!</v>
      </c>
    </row>
    <row r="8" spans="3:49" ht="15">
      <c r="C8">
        <v>36</v>
      </c>
      <c r="D8">
        <v>10</v>
      </c>
      <c r="H8" s="9">
        <f t="shared" si="0"/>
        <v>10</v>
      </c>
      <c r="I8">
        <v>10</v>
      </c>
      <c r="L8">
        <v>10</v>
      </c>
      <c r="M8">
        <v>50</v>
      </c>
      <c r="N8">
        <v>66</v>
      </c>
      <c r="P8" s="8">
        <v>100016</v>
      </c>
      <c r="Q8" s="272">
        <v>100002.27</v>
      </c>
      <c r="T8" s="74">
        <v>10</v>
      </c>
      <c r="U8" s="74">
        <v>3.7</v>
      </c>
      <c r="V8" s="74">
        <v>66</v>
      </c>
      <c r="W8" s="74">
        <v>7.3</v>
      </c>
      <c r="Y8" s="127">
        <v>4</v>
      </c>
      <c r="Z8" s="128">
        <v>0.65</v>
      </c>
      <c r="AA8" s="128">
        <v>0.75</v>
      </c>
      <c r="AB8" s="128">
        <v>0.68</v>
      </c>
      <c r="AC8" s="128">
        <v>0.77</v>
      </c>
      <c r="AD8" s="129">
        <v>0.8</v>
      </c>
      <c r="AN8" s="114" t="s">
        <v>199</v>
      </c>
      <c r="AO8" s="115"/>
      <c r="AP8" s="116"/>
      <c r="AQ8" s="116"/>
      <c r="AR8" s="116"/>
      <c r="AS8" s="116"/>
      <c r="AT8" s="116"/>
      <c r="AU8" s="116"/>
      <c r="AV8" s="117"/>
      <c r="AW8" s="113" t="e">
        <f>SUMPRODUCT(AO8:AV8,#REF!)</f>
        <v>#REF!</v>
      </c>
    </row>
    <row r="9" spans="3:49" ht="15">
      <c r="C9">
        <v>50</v>
      </c>
      <c r="D9">
        <v>16</v>
      </c>
      <c r="E9" t="s">
        <v>140</v>
      </c>
      <c r="H9" s="9">
        <f t="shared" si="0"/>
        <v>16</v>
      </c>
      <c r="I9">
        <v>16</v>
      </c>
      <c r="L9">
        <v>16</v>
      </c>
      <c r="M9">
        <v>68</v>
      </c>
      <c r="N9">
        <v>88</v>
      </c>
      <c r="P9" s="8">
        <v>100025</v>
      </c>
      <c r="Q9" s="272">
        <v>100001.5</v>
      </c>
      <c r="T9" s="74">
        <v>16</v>
      </c>
      <c r="U9" s="74">
        <v>2.35</v>
      </c>
      <c r="V9" s="74">
        <v>88</v>
      </c>
      <c r="W9" s="74">
        <v>8.9</v>
      </c>
      <c r="Y9" s="127">
        <v>5</v>
      </c>
      <c r="Z9" s="128">
        <v>0.6</v>
      </c>
      <c r="AA9" s="128">
        <v>0.73</v>
      </c>
      <c r="AB9" s="128">
        <v>0.66</v>
      </c>
      <c r="AC9" s="128">
        <v>0.75</v>
      </c>
      <c r="AD9" s="129">
        <v>0.8</v>
      </c>
      <c r="AN9" s="114" t="s">
        <v>200</v>
      </c>
      <c r="AO9" s="115"/>
      <c r="AP9" s="116"/>
      <c r="AQ9" s="116"/>
      <c r="AR9" s="116"/>
      <c r="AS9" s="116"/>
      <c r="AT9" s="116"/>
      <c r="AU9" s="116"/>
      <c r="AV9" s="117"/>
      <c r="AW9" s="113" t="e">
        <f>SUMPRODUCT(AO9:AV9,#REF!)</f>
        <v>#REF!</v>
      </c>
    </row>
    <row r="10" spans="3:49" ht="15">
      <c r="C10">
        <v>68</v>
      </c>
      <c r="D10">
        <v>25</v>
      </c>
      <c r="E10" t="s">
        <v>201</v>
      </c>
      <c r="H10" s="9">
        <f t="shared" si="0"/>
        <v>25</v>
      </c>
      <c r="I10">
        <v>25</v>
      </c>
      <c r="L10">
        <v>25</v>
      </c>
      <c r="M10">
        <v>89</v>
      </c>
      <c r="N10">
        <v>117</v>
      </c>
      <c r="P10" s="8">
        <v>100035</v>
      </c>
      <c r="Q10" s="272">
        <v>100001.12</v>
      </c>
      <c r="T10" s="74">
        <v>25</v>
      </c>
      <c r="U10" s="74">
        <v>1.51</v>
      </c>
      <c r="V10" s="74">
        <v>117</v>
      </c>
      <c r="W10" s="74">
        <v>10.199999999999999</v>
      </c>
      <c r="Y10" s="127">
        <v>6</v>
      </c>
      <c r="Z10" s="128">
        <v>0.56999999999999995</v>
      </c>
      <c r="AA10" s="128">
        <v>0.72</v>
      </c>
      <c r="AB10" s="128">
        <v>0.64</v>
      </c>
      <c r="AC10" s="128">
        <v>0.73</v>
      </c>
      <c r="AD10" s="129">
        <v>0.79</v>
      </c>
      <c r="AN10" s="114" t="s">
        <v>202</v>
      </c>
      <c r="AO10" s="115"/>
      <c r="AP10" s="116"/>
      <c r="AQ10" s="116"/>
      <c r="AR10" s="116"/>
      <c r="AS10" s="116"/>
      <c r="AT10" s="116"/>
      <c r="AU10" s="116"/>
      <c r="AV10" s="117"/>
      <c r="AW10" s="113" t="e">
        <f>SUMPRODUCT(AO10:AV10,#REF!)</f>
        <v>#REF!</v>
      </c>
    </row>
    <row r="11" spans="3:49" ht="15">
      <c r="C11">
        <v>89</v>
      </c>
      <c r="D11">
        <v>35</v>
      </c>
      <c r="E11" t="s">
        <v>203</v>
      </c>
      <c r="H11" s="9">
        <f t="shared" si="0"/>
        <v>35</v>
      </c>
      <c r="I11">
        <v>35</v>
      </c>
      <c r="L11">
        <v>35</v>
      </c>
      <c r="M11">
        <v>110</v>
      </c>
      <c r="N11">
        <v>144</v>
      </c>
      <c r="P11" s="8">
        <v>100050</v>
      </c>
      <c r="Q11" s="272">
        <v>100000.86</v>
      </c>
      <c r="T11" s="74">
        <v>35</v>
      </c>
      <c r="U11" s="74">
        <v>1.1000000000000001</v>
      </c>
      <c r="V11" s="74">
        <v>144</v>
      </c>
      <c r="W11" s="74">
        <v>12.2</v>
      </c>
      <c r="Y11" s="127">
        <v>7</v>
      </c>
      <c r="Z11" s="128">
        <v>0.54</v>
      </c>
      <c r="AA11" s="128">
        <v>0.72</v>
      </c>
      <c r="AB11" s="128">
        <v>0.63</v>
      </c>
      <c r="AC11" s="128">
        <v>0.73</v>
      </c>
      <c r="AD11" s="129">
        <v>0.79</v>
      </c>
      <c r="AN11" s="114" t="s">
        <v>204</v>
      </c>
      <c r="AO11" s="115"/>
      <c r="AP11" s="116"/>
      <c r="AQ11" s="116"/>
      <c r="AR11" s="116"/>
      <c r="AS11" s="116"/>
      <c r="AT11" s="116"/>
      <c r="AU11" s="116"/>
      <c r="AV11" s="117"/>
      <c r="AW11" s="113" t="e">
        <f>SUMPRODUCT(AO11:AV11,#REF!)</f>
        <v>#REF!</v>
      </c>
    </row>
    <row r="12" spans="3:49" ht="15">
      <c r="C12">
        <v>110</v>
      </c>
      <c r="D12">
        <v>50</v>
      </c>
      <c r="H12" s="9">
        <f t="shared" si="0"/>
        <v>50</v>
      </c>
      <c r="I12">
        <v>50</v>
      </c>
      <c r="L12">
        <v>50</v>
      </c>
      <c r="M12">
        <v>134</v>
      </c>
      <c r="N12">
        <v>175</v>
      </c>
      <c r="P12" s="8">
        <v>100070</v>
      </c>
      <c r="Q12" s="272">
        <v>100000.64</v>
      </c>
      <c r="T12" s="74">
        <v>50</v>
      </c>
      <c r="U12" s="74">
        <v>0.83</v>
      </c>
      <c r="V12" s="74">
        <v>175</v>
      </c>
      <c r="W12" s="74">
        <v>14.3</v>
      </c>
      <c r="Y12" s="127">
        <v>8</v>
      </c>
      <c r="Z12" s="128">
        <v>0.52</v>
      </c>
      <c r="AA12" s="128">
        <v>0.71</v>
      </c>
      <c r="AB12" s="128">
        <v>0.62</v>
      </c>
      <c r="AC12" s="128">
        <v>0.72</v>
      </c>
      <c r="AD12" s="129">
        <v>0.78</v>
      </c>
      <c r="AN12" s="114" t="s">
        <v>205</v>
      </c>
      <c r="AO12" s="115"/>
      <c r="AP12" s="116"/>
      <c r="AQ12" s="116"/>
      <c r="AR12" s="116"/>
      <c r="AS12" s="116"/>
      <c r="AT12" s="116"/>
      <c r="AU12" s="116"/>
      <c r="AV12" s="117"/>
      <c r="AW12" s="113" t="e">
        <f>SUMPRODUCT(AO12:AV12,#REF!)</f>
        <v>#REF!</v>
      </c>
    </row>
    <row r="13" spans="3:49" ht="15">
      <c r="C13">
        <v>134</v>
      </c>
      <c r="D13">
        <v>70</v>
      </c>
      <c r="H13" s="9">
        <f t="shared" si="0"/>
        <v>70</v>
      </c>
      <c r="I13">
        <v>70</v>
      </c>
      <c r="L13">
        <v>70</v>
      </c>
      <c r="M13">
        <v>171</v>
      </c>
      <c r="N13">
        <v>222</v>
      </c>
      <c r="P13" s="8">
        <v>100095</v>
      </c>
      <c r="Q13" s="272">
        <v>100000.5</v>
      </c>
      <c r="T13" s="74">
        <v>70</v>
      </c>
      <c r="U13" s="74">
        <v>0.59</v>
      </c>
      <c r="V13" s="74">
        <v>222</v>
      </c>
      <c r="W13" s="74">
        <v>16.3</v>
      </c>
      <c r="Y13" s="127">
        <v>9</v>
      </c>
      <c r="Z13" s="128">
        <v>0.5</v>
      </c>
      <c r="AA13" s="128">
        <v>0.7</v>
      </c>
      <c r="AB13" s="128">
        <v>0.61</v>
      </c>
      <c r="AC13" s="128">
        <v>0.72</v>
      </c>
      <c r="AD13" s="129">
        <v>0.78</v>
      </c>
      <c r="AN13" s="114" t="s">
        <v>206</v>
      </c>
      <c r="AO13" s="115"/>
      <c r="AP13" s="116"/>
      <c r="AQ13" s="116"/>
      <c r="AR13" s="116"/>
      <c r="AS13" s="116"/>
      <c r="AT13" s="116"/>
      <c r="AU13" s="116"/>
      <c r="AV13" s="117"/>
      <c r="AW13" s="113" t="e">
        <f>SUMPRODUCT(AO13:AV13,#REF!)</f>
        <v>#REF!</v>
      </c>
    </row>
    <row r="14" spans="3:49" ht="15">
      <c r="C14">
        <v>171</v>
      </c>
      <c r="D14">
        <v>95</v>
      </c>
      <c r="H14" s="9">
        <f t="shared" si="0"/>
        <v>95</v>
      </c>
      <c r="I14">
        <v>95</v>
      </c>
      <c r="L14">
        <v>95</v>
      </c>
      <c r="M14">
        <v>207</v>
      </c>
      <c r="N14">
        <v>269</v>
      </c>
      <c r="P14" s="8">
        <v>100120</v>
      </c>
      <c r="Q14" s="272">
        <v>100000.42</v>
      </c>
      <c r="T14" s="74">
        <v>95</v>
      </c>
      <c r="U14" s="74">
        <v>0.44</v>
      </c>
      <c r="V14" s="74">
        <v>269</v>
      </c>
      <c r="W14" s="74">
        <v>18.2</v>
      </c>
      <c r="Y14" s="127">
        <v>10</v>
      </c>
      <c r="Z14" s="128">
        <v>0.5</v>
      </c>
      <c r="AA14" s="128">
        <v>0.7</v>
      </c>
      <c r="AB14" s="128">
        <v>0.61</v>
      </c>
      <c r="AC14" s="128">
        <v>0.72</v>
      </c>
      <c r="AD14" s="129">
        <v>0.78</v>
      </c>
      <c r="AN14" s="114" t="s">
        <v>207</v>
      </c>
      <c r="AO14" s="115"/>
      <c r="AP14" s="116"/>
      <c r="AQ14" s="116"/>
      <c r="AR14" s="116"/>
      <c r="AS14" s="116"/>
      <c r="AT14" s="116"/>
      <c r="AU14" s="116"/>
      <c r="AV14" s="117"/>
      <c r="AW14" s="113" t="e">
        <f>SUMPRODUCT(AO14:AV14,#REF!)</f>
        <v>#REF!</v>
      </c>
    </row>
    <row r="15" spans="3:49" ht="15">
      <c r="C15">
        <v>207</v>
      </c>
      <c r="D15">
        <v>120</v>
      </c>
      <c r="H15" s="9">
        <f t="shared" si="0"/>
        <v>120</v>
      </c>
      <c r="I15">
        <v>120</v>
      </c>
      <c r="L15">
        <v>120</v>
      </c>
      <c r="M15">
        <v>239</v>
      </c>
      <c r="N15">
        <v>312</v>
      </c>
      <c r="P15" s="8">
        <v>100150</v>
      </c>
      <c r="Q15" s="272">
        <v>100000.37</v>
      </c>
      <c r="T15" s="74">
        <v>120</v>
      </c>
      <c r="U15" s="74">
        <v>0.36</v>
      </c>
      <c r="V15" s="74">
        <v>312</v>
      </c>
      <c r="W15" s="74">
        <v>20.3</v>
      </c>
      <c r="Y15" s="127">
        <v>11</v>
      </c>
      <c r="Z15" s="128">
        <v>0.5</v>
      </c>
      <c r="AA15" s="128">
        <v>0.7</v>
      </c>
      <c r="AB15" s="128">
        <v>0.61</v>
      </c>
      <c r="AC15" s="128">
        <v>0.72</v>
      </c>
      <c r="AD15" s="129">
        <v>0.78</v>
      </c>
      <c r="AN15" s="114" t="s">
        <v>208</v>
      </c>
      <c r="AO15" s="115"/>
      <c r="AP15" s="116"/>
      <c r="AQ15" s="116"/>
      <c r="AR15" s="116"/>
      <c r="AS15" s="116"/>
      <c r="AT15" s="116"/>
      <c r="AU15" s="116"/>
      <c r="AV15" s="117"/>
      <c r="AW15" s="113" t="e">
        <f>SUMPRODUCT(AO15:AV15,#REF!)</f>
        <v>#REF!</v>
      </c>
    </row>
    <row r="16" spans="3:49" ht="15">
      <c r="C16">
        <v>239</v>
      </c>
      <c r="D16">
        <v>150</v>
      </c>
      <c r="H16" s="9">
        <f t="shared" si="0"/>
        <v>150</v>
      </c>
      <c r="I16">
        <v>150</v>
      </c>
      <c r="L16">
        <v>150</v>
      </c>
      <c r="M16">
        <v>275</v>
      </c>
      <c r="N16">
        <v>358</v>
      </c>
      <c r="P16" s="8">
        <v>100185</v>
      </c>
      <c r="Q16" s="272">
        <v>100000.32000000001</v>
      </c>
      <c r="T16" s="74">
        <v>150</v>
      </c>
      <c r="U16" s="74">
        <v>0.31</v>
      </c>
      <c r="V16" s="74">
        <v>358</v>
      </c>
      <c r="W16" s="74">
        <v>22.8</v>
      </c>
      <c r="Y16" s="127">
        <v>12</v>
      </c>
      <c r="Z16" s="128">
        <v>0.45</v>
      </c>
      <c r="AA16" s="128">
        <v>0.7</v>
      </c>
      <c r="AB16" s="128">
        <v>0.61</v>
      </c>
      <c r="AC16" s="128">
        <v>0.72</v>
      </c>
      <c r="AD16" s="129">
        <v>0.78</v>
      </c>
      <c r="AN16" s="114" t="s">
        <v>209</v>
      </c>
      <c r="AO16" s="115"/>
      <c r="AP16" s="116"/>
      <c r="AQ16" s="116"/>
      <c r="AR16" s="116"/>
      <c r="AS16" s="116"/>
      <c r="AT16" s="116"/>
      <c r="AU16" s="116"/>
      <c r="AV16" s="117"/>
      <c r="AW16" s="113" t="e">
        <f>SUMPRODUCT(AO16:AV16,#REF!)</f>
        <v>#REF!</v>
      </c>
    </row>
    <row r="17" spans="3:49" ht="15">
      <c r="C17">
        <v>275</v>
      </c>
      <c r="D17">
        <v>185</v>
      </c>
      <c r="H17" s="9">
        <f t="shared" si="0"/>
        <v>185</v>
      </c>
      <c r="I17">
        <v>185</v>
      </c>
      <c r="L17">
        <v>185</v>
      </c>
      <c r="M17">
        <v>314</v>
      </c>
      <c r="N17">
        <v>408</v>
      </c>
      <c r="P17" s="8">
        <v>100240</v>
      </c>
      <c r="Q17" s="272">
        <v>100000.29</v>
      </c>
      <c r="T17" s="74">
        <v>185</v>
      </c>
      <c r="U17" s="74">
        <v>0.26</v>
      </c>
      <c r="V17" s="74">
        <v>408</v>
      </c>
      <c r="W17" s="74">
        <v>24.8</v>
      </c>
      <c r="Y17" s="127">
        <v>13</v>
      </c>
      <c r="Z17" s="128">
        <v>0.45</v>
      </c>
      <c r="AA17" s="128">
        <v>0.7</v>
      </c>
      <c r="AB17" s="128">
        <v>0.61</v>
      </c>
      <c r="AC17" s="128">
        <v>0.72</v>
      </c>
      <c r="AD17" s="129">
        <v>0.78</v>
      </c>
      <c r="AN17" s="114" t="s">
        <v>210</v>
      </c>
      <c r="AO17" s="115"/>
      <c r="AP17" s="116"/>
      <c r="AQ17" s="116"/>
      <c r="AR17" s="116"/>
      <c r="AS17" s="116"/>
      <c r="AT17" s="116"/>
      <c r="AU17" s="116"/>
      <c r="AV17" s="117"/>
      <c r="AW17" s="113" t="e">
        <f>SUMPRODUCT(AO17:AV17,#REF!)</f>
        <v>#REF!</v>
      </c>
    </row>
    <row r="18" spans="3:49" ht="15">
      <c r="C18">
        <v>314</v>
      </c>
      <c r="D18">
        <v>240</v>
      </c>
      <c r="H18" s="9">
        <f t="shared" si="0"/>
        <v>240</v>
      </c>
      <c r="I18">
        <v>240</v>
      </c>
      <c r="L18">
        <v>240</v>
      </c>
      <c r="M18">
        <v>370</v>
      </c>
      <c r="N18">
        <v>481</v>
      </c>
      <c r="P18" s="8">
        <v>200000</v>
      </c>
      <c r="Q18" s="271" t="s">
        <v>173</v>
      </c>
      <c r="T18" s="74">
        <v>240</v>
      </c>
      <c r="U18" s="74">
        <v>0.21</v>
      </c>
      <c r="V18" s="74">
        <v>481</v>
      </c>
      <c r="W18" s="74">
        <v>28.2</v>
      </c>
      <c r="Y18" s="127">
        <v>14</v>
      </c>
      <c r="Z18" s="128">
        <v>0.45</v>
      </c>
      <c r="AA18" s="128">
        <v>0.7</v>
      </c>
      <c r="AB18" s="128">
        <v>0.61</v>
      </c>
      <c r="AC18" s="128">
        <v>0.72</v>
      </c>
      <c r="AD18" s="129">
        <v>0.78</v>
      </c>
      <c r="AN18" s="114" t="s">
        <v>211</v>
      </c>
      <c r="AO18" s="115"/>
      <c r="AP18" s="116"/>
      <c r="AQ18" s="116"/>
      <c r="AR18" s="116"/>
      <c r="AS18" s="116"/>
      <c r="AT18" s="116"/>
      <c r="AU18" s="116"/>
      <c r="AV18" s="117"/>
      <c r="AW18" s="113" t="e">
        <f>SUMPRODUCT(AO18:AV18,#REF!)</f>
        <v>#REF!</v>
      </c>
    </row>
    <row r="19" spans="3:49" ht="15">
      <c r="C19">
        <v>370</v>
      </c>
      <c r="P19" s="8">
        <v>200001.5</v>
      </c>
      <c r="Q19" s="272">
        <v>200027.4</v>
      </c>
      <c r="T19" s="74">
        <v>300</v>
      </c>
      <c r="U19" s="74">
        <v>0.18</v>
      </c>
      <c r="V19" s="74">
        <v>553</v>
      </c>
      <c r="W19" s="74">
        <v>31.5</v>
      </c>
      <c r="Y19" s="127">
        <v>15</v>
      </c>
      <c r="Z19" s="128">
        <v>0.45</v>
      </c>
      <c r="AA19" s="128">
        <v>0.7</v>
      </c>
      <c r="AB19" s="128">
        <v>0.61</v>
      </c>
      <c r="AC19" s="128">
        <v>0.72</v>
      </c>
      <c r="AD19" s="129">
        <v>0.78</v>
      </c>
      <c r="AN19" s="114" t="s">
        <v>212</v>
      </c>
      <c r="AO19" s="115"/>
      <c r="AP19" s="116"/>
      <c r="AQ19" s="116"/>
      <c r="AR19" s="116"/>
      <c r="AS19" s="116"/>
      <c r="AT19" s="116"/>
      <c r="AU19" s="116"/>
      <c r="AV19" s="117"/>
      <c r="AW19" s="113" t="e">
        <f>SUMPRODUCT(AO19:AV19,#REF!)</f>
        <v>#REF!</v>
      </c>
    </row>
    <row r="20" spans="3:49" ht="15">
      <c r="P20" s="8">
        <v>200002.5</v>
      </c>
      <c r="Q20" s="272">
        <v>200016.8</v>
      </c>
      <c r="Y20" s="127">
        <v>16</v>
      </c>
      <c r="Z20" s="128">
        <v>0.41</v>
      </c>
      <c r="AA20" s="128">
        <v>0.7</v>
      </c>
      <c r="AB20" s="128">
        <v>0.61</v>
      </c>
      <c r="AC20" s="128">
        <v>0.72</v>
      </c>
      <c r="AD20" s="129">
        <v>0.78</v>
      </c>
      <c r="AN20" s="114" t="s">
        <v>213</v>
      </c>
      <c r="AO20" s="115"/>
      <c r="AP20" s="116"/>
      <c r="AQ20" s="116"/>
      <c r="AR20" s="116"/>
      <c r="AS20" s="116"/>
      <c r="AT20" s="116"/>
      <c r="AU20" s="116"/>
      <c r="AV20" s="117"/>
      <c r="AW20" s="113" t="e">
        <f>SUMPRODUCT(AO20:AV20,#REF!)</f>
        <v>#REF!</v>
      </c>
    </row>
    <row r="21" spans="3:49" ht="15">
      <c r="C21" t="s">
        <v>172</v>
      </c>
      <c r="D21" t="s">
        <v>171</v>
      </c>
      <c r="P21" s="8">
        <v>200004</v>
      </c>
      <c r="Q21" s="272">
        <v>200010.5</v>
      </c>
      <c r="Y21" s="127">
        <v>17</v>
      </c>
      <c r="Z21" s="128">
        <v>0.41</v>
      </c>
      <c r="AA21" s="128">
        <v>0.7</v>
      </c>
      <c r="AB21" s="128">
        <v>0.61</v>
      </c>
      <c r="AC21" s="128">
        <v>0.72</v>
      </c>
      <c r="AD21" s="129">
        <v>0.78</v>
      </c>
      <c r="AN21" s="114" t="s">
        <v>214</v>
      </c>
      <c r="AO21" s="115"/>
      <c r="AP21" s="116"/>
      <c r="AQ21" s="116"/>
      <c r="AR21" s="116"/>
      <c r="AS21" s="116"/>
      <c r="AT21" s="116"/>
      <c r="AU21" s="116"/>
      <c r="AV21" s="117"/>
      <c r="AW21" s="113" t="e">
        <f>SUMPRODUCT(AO21:AV21,#REF!)</f>
        <v>#REF!</v>
      </c>
    </row>
    <row r="22" spans="3:49" ht="15">
      <c r="D22">
        <v>1</v>
      </c>
      <c r="P22" s="8">
        <v>200006</v>
      </c>
      <c r="Q22" s="272">
        <v>200007</v>
      </c>
      <c r="Y22" s="127">
        <v>18</v>
      </c>
      <c r="Z22" s="128">
        <v>0.41</v>
      </c>
      <c r="AA22" s="128">
        <v>0.7</v>
      </c>
      <c r="AB22" s="128">
        <v>0.61</v>
      </c>
      <c r="AC22" s="128">
        <v>0.72</v>
      </c>
      <c r="AD22" s="129">
        <v>0.78</v>
      </c>
      <c r="AN22" s="114" t="s">
        <v>215</v>
      </c>
      <c r="AO22" s="115"/>
      <c r="AP22" s="116"/>
      <c r="AQ22" s="116"/>
      <c r="AR22" s="116"/>
      <c r="AS22" s="116"/>
      <c r="AT22" s="116"/>
      <c r="AU22" s="116"/>
      <c r="AV22" s="117"/>
      <c r="AW22" s="113" t="e">
        <f>SUMPRODUCT(AO22:AV22,#REF!)</f>
        <v>#REF!</v>
      </c>
    </row>
    <row r="23" spans="3:49" ht="15">
      <c r="C23">
        <v>9</v>
      </c>
      <c r="D23">
        <v>2.5</v>
      </c>
      <c r="H23" t="e">
        <f>VLOOKUP(G23,H5:I18,2)</f>
        <v>#N/A</v>
      </c>
      <c r="P23" s="8">
        <v>200010</v>
      </c>
      <c r="Q23" s="272">
        <v>200004.2</v>
      </c>
      <c r="Y23" s="127">
        <v>19</v>
      </c>
      <c r="Z23" s="128">
        <v>0.41</v>
      </c>
      <c r="AA23" s="128">
        <v>0.7</v>
      </c>
      <c r="AB23" s="128">
        <v>0.61</v>
      </c>
      <c r="AC23" s="128">
        <v>0.72</v>
      </c>
      <c r="AD23" s="129">
        <v>0.78</v>
      </c>
      <c r="AN23" s="114" t="s">
        <v>216</v>
      </c>
      <c r="AO23" s="115"/>
      <c r="AP23" s="116"/>
      <c r="AQ23" s="116"/>
      <c r="AR23" s="116"/>
      <c r="AS23" s="116"/>
      <c r="AT23" s="116"/>
      <c r="AU23" s="116"/>
      <c r="AV23" s="117"/>
      <c r="AW23" s="113" t="e">
        <f>SUMPRODUCT(AO23:AV23,#REF!)</f>
        <v>#REF!</v>
      </c>
    </row>
    <row r="24" spans="3:49" ht="15">
      <c r="C24">
        <v>20</v>
      </c>
      <c r="D24">
        <v>2.5</v>
      </c>
      <c r="P24" s="8">
        <v>200016</v>
      </c>
      <c r="Q24" s="272">
        <v>200002.7</v>
      </c>
      <c r="Y24" s="127">
        <v>20</v>
      </c>
      <c r="Z24" s="128">
        <v>0.38</v>
      </c>
      <c r="AA24" s="128">
        <v>0.7</v>
      </c>
      <c r="AB24" s="128">
        <v>0.61</v>
      </c>
      <c r="AC24" s="128">
        <v>0.72</v>
      </c>
      <c r="AD24" s="129">
        <v>0.78</v>
      </c>
      <c r="AN24" s="114" t="s">
        <v>217</v>
      </c>
      <c r="AO24" s="115"/>
      <c r="AP24" s="116"/>
      <c r="AQ24" s="116"/>
      <c r="AR24" s="116"/>
      <c r="AS24" s="116"/>
      <c r="AT24" s="116"/>
      <c r="AU24" s="116"/>
      <c r="AV24" s="117"/>
      <c r="AW24" s="113" t="e">
        <f>SUMPRODUCT(AO24:AV24,#REF!)</f>
        <v>#REF!</v>
      </c>
    </row>
    <row r="25" spans="3:49" ht="15">
      <c r="C25">
        <v>28</v>
      </c>
      <c r="D25">
        <v>4</v>
      </c>
      <c r="P25" s="8">
        <v>200025</v>
      </c>
      <c r="Q25" s="272">
        <v>200001.72</v>
      </c>
      <c r="Y25" s="127">
        <v>21</v>
      </c>
      <c r="Z25" s="128">
        <v>0.38</v>
      </c>
      <c r="AA25" s="128">
        <v>0.7</v>
      </c>
      <c r="AB25" s="128">
        <v>0.61</v>
      </c>
      <c r="AC25" s="128">
        <v>0.72</v>
      </c>
      <c r="AD25" s="129">
        <v>0.78</v>
      </c>
      <c r="AN25" s="114" t="s">
        <v>218</v>
      </c>
      <c r="AO25" s="115"/>
      <c r="AP25" s="116"/>
      <c r="AQ25" s="116"/>
      <c r="AR25" s="116"/>
      <c r="AS25" s="116"/>
      <c r="AT25" s="116"/>
      <c r="AU25" s="116"/>
      <c r="AV25" s="117"/>
      <c r="AW25" s="113" t="e">
        <f>SUMPRODUCT(AO25:AV25,#REF!)</f>
        <v>#REF!</v>
      </c>
    </row>
    <row r="26" spans="3:49" ht="15">
      <c r="C26">
        <v>37</v>
      </c>
      <c r="D26">
        <v>6</v>
      </c>
      <c r="I26">
        <v>2.5</v>
      </c>
      <c r="J26">
        <v>16</v>
      </c>
      <c r="P26" s="8">
        <v>200035</v>
      </c>
      <c r="Q26" s="272">
        <v>200001.25</v>
      </c>
      <c r="Y26" s="127">
        <v>22</v>
      </c>
      <c r="Z26" s="128">
        <v>0.38</v>
      </c>
      <c r="AA26" s="128">
        <v>0.7</v>
      </c>
      <c r="AB26" s="128">
        <v>0.61</v>
      </c>
      <c r="AC26" s="128">
        <v>0.72</v>
      </c>
      <c r="AD26" s="129">
        <v>0.78</v>
      </c>
      <c r="AN26" s="114" t="s">
        <v>219</v>
      </c>
      <c r="AO26" s="115"/>
      <c r="AP26" s="116"/>
      <c r="AQ26" s="116"/>
      <c r="AR26" s="116"/>
      <c r="AS26" s="116"/>
      <c r="AT26" s="116"/>
      <c r="AU26" s="116"/>
      <c r="AV26" s="117"/>
      <c r="AW26" s="113" t="e">
        <f>SUMPRODUCT(AO26:AV26,#REF!)</f>
        <v>#REF!</v>
      </c>
    </row>
    <row r="27" spans="3:49" ht="15">
      <c r="C27">
        <v>48</v>
      </c>
      <c r="D27">
        <v>10</v>
      </c>
      <c r="I27">
        <v>4</v>
      </c>
      <c r="J27">
        <v>20</v>
      </c>
      <c r="P27" s="8">
        <v>200050</v>
      </c>
      <c r="Q27" s="272">
        <v>200000.95</v>
      </c>
      <c r="Y27" s="127">
        <v>23</v>
      </c>
      <c r="Z27" s="128">
        <v>0.38</v>
      </c>
      <c r="AA27" s="128">
        <v>0.7</v>
      </c>
      <c r="AB27" s="128">
        <v>0.61</v>
      </c>
      <c r="AC27" s="128">
        <v>0.72</v>
      </c>
      <c r="AD27" s="129">
        <v>0.78</v>
      </c>
      <c r="AN27" s="114" t="s">
        <v>220</v>
      </c>
      <c r="AO27" s="115"/>
      <c r="AP27" s="116"/>
      <c r="AQ27" s="116"/>
      <c r="AR27" s="116"/>
      <c r="AS27" s="116"/>
      <c r="AT27" s="116"/>
      <c r="AU27" s="116"/>
      <c r="AV27" s="117"/>
      <c r="AW27" s="113" t="e">
        <f>SUMPRODUCT(AO27:AV27,#REF!)</f>
        <v>#REF!</v>
      </c>
    </row>
    <row r="28" spans="3:49" ht="15">
      <c r="C28">
        <v>66</v>
      </c>
      <c r="D28">
        <v>16</v>
      </c>
      <c r="I28">
        <v>6</v>
      </c>
      <c r="J28">
        <v>28</v>
      </c>
      <c r="P28" s="8">
        <v>200070</v>
      </c>
      <c r="Q28" s="272">
        <v>200000.67</v>
      </c>
      <c r="Y28" s="127">
        <v>24</v>
      </c>
      <c r="Z28" s="128">
        <v>0.38</v>
      </c>
      <c r="AA28" s="128">
        <v>0.7</v>
      </c>
      <c r="AB28" s="128">
        <v>0.61</v>
      </c>
      <c r="AC28" s="128">
        <v>0.72</v>
      </c>
      <c r="AD28" s="129">
        <v>0.78</v>
      </c>
      <c r="AN28" s="114" t="s">
        <v>221</v>
      </c>
      <c r="AO28" s="115"/>
      <c r="AP28" s="116"/>
      <c r="AQ28" s="116"/>
      <c r="AR28" s="116"/>
      <c r="AS28" s="116"/>
      <c r="AT28" s="116"/>
      <c r="AU28" s="116"/>
      <c r="AV28" s="117"/>
      <c r="AW28" s="113" t="e">
        <f>SUMPRODUCT(AO28:AV28,#REF!)</f>
        <v>#REF!</v>
      </c>
    </row>
    <row r="29" spans="3:49" ht="15">
      <c r="C29">
        <v>88</v>
      </c>
      <c r="D29">
        <v>25</v>
      </c>
      <c r="I29">
        <v>10</v>
      </c>
      <c r="J29">
        <v>37</v>
      </c>
      <c r="P29" s="8">
        <v>200095</v>
      </c>
      <c r="Q29" s="272">
        <v>200000.51</v>
      </c>
      <c r="Y29" s="127">
        <v>25</v>
      </c>
      <c r="Z29" s="128">
        <v>0.38</v>
      </c>
      <c r="AA29" s="128">
        <v>0.7</v>
      </c>
      <c r="AB29" s="128">
        <v>0.61</v>
      </c>
      <c r="AC29" s="128">
        <v>0.72</v>
      </c>
      <c r="AD29" s="129">
        <v>0.78</v>
      </c>
      <c r="AN29" s="114" t="s">
        <v>222</v>
      </c>
      <c r="AO29" s="115"/>
      <c r="AP29" s="116"/>
      <c r="AQ29" s="116"/>
      <c r="AR29" s="116"/>
      <c r="AS29" s="116"/>
      <c r="AT29" s="116"/>
      <c r="AU29" s="116"/>
      <c r="AV29" s="117"/>
      <c r="AW29" s="113" t="e">
        <f>SUMPRODUCT(AO29:AV29,#REF!)</f>
        <v>#REF!</v>
      </c>
    </row>
    <row r="30" spans="3:49" ht="15">
      <c r="C30">
        <v>117</v>
      </c>
      <c r="D30">
        <v>35</v>
      </c>
      <c r="I30">
        <v>16</v>
      </c>
      <c r="J30">
        <v>48</v>
      </c>
      <c r="P30" s="8">
        <v>200120</v>
      </c>
      <c r="Q30" s="272">
        <v>200000.42</v>
      </c>
      <c r="Y30" s="127">
        <v>26</v>
      </c>
      <c r="Z30" s="128">
        <v>0.38</v>
      </c>
      <c r="AA30" s="128">
        <v>0.7</v>
      </c>
      <c r="AB30" s="128">
        <v>0.61</v>
      </c>
      <c r="AC30" s="128">
        <v>0.72</v>
      </c>
      <c r="AD30" s="129">
        <v>0.78</v>
      </c>
      <c r="AN30" s="114" t="s">
        <v>223</v>
      </c>
      <c r="AO30" s="115"/>
      <c r="AP30" s="116"/>
      <c r="AQ30" s="116"/>
      <c r="AR30" s="116"/>
      <c r="AS30" s="116"/>
      <c r="AT30" s="116"/>
      <c r="AU30" s="116"/>
      <c r="AV30" s="117"/>
      <c r="AW30" s="113" t="e">
        <f>SUMPRODUCT(AO30:AV30,#REF!)</f>
        <v>#REF!</v>
      </c>
    </row>
    <row r="31" spans="3:49" ht="15">
      <c r="C31">
        <v>144</v>
      </c>
      <c r="D31">
        <v>50</v>
      </c>
      <c r="I31">
        <v>25</v>
      </c>
      <c r="J31">
        <v>66</v>
      </c>
      <c r="P31" s="8">
        <v>200150</v>
      </c>
      <c r="Q31" s="272">
        <v>200000.35</v>
      </c>
      <c r="Y31" s="127">
        <v>27</v>
      </c>
      <c r="Z31" s="128">
        <v>0.38</v>
      </c>
      <c r="AA31" s="128">
        <v>0.7</v>
      </c>
      <c r="AB31" s="128">
        <v>0.61</v>
      </c>
      <c r="AC31" s="128">
        <v>0.72</v>
      </c>
      <c r="AD31" s="129">
        <v>0.78</v>
      </c>
      <c r="AN31" s="114" t="s">
        <v>224</v>
      </c>
      <c r="AO31" s="115"/>
      <c r="AP31" s="116"/>
      <c r="AQ31" s="116"/>
      <c r="AR31" s="116"/>
      <c r="AS31" s="116"/>
      <c r="AT31" s="116"/>
      <c r="AU31" s="116"/>
      <c r="AV31" s="117"/>
      <c r="AW31" s="113" t="e">
        <f>SUMPRODUCT(AO31:AV31,#REF!)</f>
        <v>#REF!</v>
      </c>
    </row>
    <row r="32" spans="3:49" ht="15">
      <c r="C32">
        <v>175</v>
      </c>
      <c r="D32">
        <v>70</v>
      </c>
      <c r="I32">
        <v>35</v>
      </c>
      <c r="J32">
        <v>88</v>
      </c>
      <c r="P32" s="8">
        <v>200185</v>
      </c>
      <c r="Q32" s="272">
        <v>200000.3</v>
      </c>
      <c r="Y32" s="127">
        <v>28</v>
      </c>
      <c r="Z32" s="128">
        <v>0.38</v>
      </c>
      <c r="AA32" s="128">
        <v>0.7</v>
      </c>
      <c r="AB32" s="128">
        <v>0.61</v>
      </c>
      <c r="AC32" s="128">
        <v>0.72</v>
      </c>
      <c r="AD32" s="129">
        <v>0.78</v>
      </c>
      <c r="AN32" s="114" t="s">
        <v>225</v>
      </c>
      <c r="AO32" s="115"/>
      <c r="AP32" s="116"/>
      <c r="AQ32" s="116"/>
      <c r="AR32" s="116"/>
      <c r="AS32" s="116"/>
      <c r="AT32" s="116"/>
      <c r="AU32" s="116"/>
      <c r="AV32" s="117"/>
      <c r="AW32" s="113" t="e">
        <f>SUMPRODUCT(AO32:AV32,#REF!)</f>
        <v>#REF!</v>
      </c>
    </row>
    <row r="33" spans="2:49" ht="15">
      <c r="C33">
        <v>222</v>
      </c>
      <c r="D33">
        <v>95</v>
      </c>
      <c r="I33">
        <v>50</v>
      </c>
      <c r="J33">
        <v>117</v>
      </c>
      <c r="P33" s="8">
        <v>200240</v>
      </c>
      <c r="Q33" s="272">
        <v>200000.25</v>
      </c>
      <c r="Y33" s="127">
        <v>29</v>
      </c>
      <c r="Z33" s="128">
        <v>0.38</v>
      </c>
      <c r="AA33" s="128">
        <v>0.7</v>
      </c>
      <c r="AB33" s="128">
        <v>0.61</v>
      </c>
      <c r="AC33" s="128">
        <v>0.72</v>
      </c>
      <c r="AD33" s="129">
        <v>0.78</v>
      </c>
      <c r="AN33" s="114" t="s">
        <v>226</v>
      </c>
      <c r="AO33" s="115"/>
      <c r="AP33" s="116"/>
      <c r="AQ33" s="116"/>
      <c r="AR33" s="116"/>
      <c r="AS33" s="116"/>
      <c r="AT33" s="116"/>
      <c r="AU33" s="116"/>
      <c r="AV33" s="117"/>
      <c r="AW33" s="113" t="e">
        <f>SUMPRODUCT(AO33:AV33,#REF!)</f>
        <v>#REF!</v>
      </c>
    </row>
    <row r="34" spans="2:49" ht="15">
      <c r="C34">
        <v>269</v>
      </c>
      <c r="D34">
        <v>120</v>
      </c>
      <c r="I34">
        <v>70</v>
      </c>
      <c r="J34">
        <v>144</v>
      </c>
      <c r="P34" s="8">
        <v>300000</v>
      </c>
      <c r="Q34" s="271" t="s">
        <v>173</v>
      </c>
      <c r="Y34" s="127">
        <v>30</v>
      </c>
      <c r="Z34" s="128">
        <v>0.38</v>
      </c>
      <c r="AA34" s="128">
        <v>0.7</v>
      </c>
      <c r="AB34" s="128">
        <v>0.61</v>
      </c>
      <c r="AC34" s="128">
        <v>0.72</v>
      </c>
      <c r="AD34" s="129">
        <v>0.78</v>
      </c>
      <c r="AN34" s="114" t="s">
        <v>227</v>
      </c>
      <c r="AO34" s="115"/>
      <c r="AP34" s="116"/>
      <c r="AQ34" s="116"/>
      <c r="AR34" s="116"/>
      <c r="AS34" s="116"/>
      <c r="AT34" s="116"/>
      <c r="AU34" s="116"/>
      <c r="AV34" s="117"/>
      <c r="AW34" s="113" t="e">
        <f>SUMPRODUCT(AO34:AV34,#REF!)</f>
        <v>#REF!</v>
      </c>
    </row>
    <row r="35" spans="2:49" ht="15">
      <c r="C35">
        <v>312</v>
      </c>
      <c r="D35">
        <v>150</v>
      </c>
      <c r="I35">
        <v>95</v>
      </c>
      <c r="J35">
        <v>175</v>
      </c>
      <c r="P35" s="8">
        <v>300001.5</v>
      </c>
      <c r="Q35" s="272">
        <v>300023.3</v>
      </c>
      <c r="Y35" s="127">
        <v>31</v>
      </c>
      <c r="Z35" s="128">
        <v>0.38</v>
      </c>
      <c r="AA35" s="128">
        <v>0.7</v>
      </c>
      <c r="AB35" s="128">
        <v>0.61</v>
      </c>
      <c r="AC35" s="128">
        <v>0.72</v>
      </c>
      <c r="AD35" s="129">
        <v>0.78</v>
      </c>
      <c r="AN35" s="114" t="s">
        <v>228</v>
      </c>
      <c r="AO35" s="115"/>
      <c r="AP35" s="116"/>
      <c r="AQ35" s="116"/>
      <c r="AR35" s="116"/>
      <c r="AS35" s="116"/>
      <c r="AT35" s="116"/>
      <c r="AU35" s="116"/>
      <c r="AV35" s="117"/>
      <c r="AW35" s="113" t="e">
        <f>SUMPRODUCT(AO35:AV35,#REF!)</f>
        <v>#REF!</v>
      </c>
    </row>
    <row r="36" spans="2:49" ht="15.75" thickBot="1">
      <c r="C36">
        <v>358</v>
      </c>
      <c r="D36">
        <v>185</v>
      </c>
      <c r="I36">
        <v>120</v>
      </c>
      <c r="J36">
        <v>222</v>
      </c>
      <c r="P36" s="8">
        <v>300002.5</v>
      </c>
      <c r="Q36" s="272">
        <v>300014.3</v>
      </c>
      <c r="Y36" s="127">
        <v>32</v>
      </c>
      <c r="Z36" s="128">
        <v>0.38</v>
      </c>
      <c r="AA36" s="128">
        <v>0.7</v>
      </c>
      <c r="AB36" s="128">
        <v>0.61</v>
      </c>
      <c r="AC36" s="128">
        <v>0.72</v>
      </c>
      <c r="AD36" s="129">
        <v>0.78</v>
      </c>
      <c r="AN36" s="118" t="s">
        <v>229</v>
      </c>
      <c r="AO36" s="119"/>
      <c r="AP36" s="120"/>
      <c r="AQ36" s="120"/>
      <c r="AR36" s="120"/>
      <c r="AS36" s="120"/>
      <c r="AT36" s="120"/>
      <c r="AU36" s="120"/>
      <c r="AV36" s="121"/>
      <c r="AW36" s="122" t="e">
        <f>SUMPRODUCT(AO36:AV36,#REF!)</f>
        <v>#REF!</v>
      </c>
    </row>
    <row r="37" spans="2:49" ht="15">
      <c r="C37">
        <v>408</v>
      </c>
      <c r="D37">
        <v>240</v>
      </c>
      <c r="I37">
        <v>150</v>
      </c>
      <c r="J37">
        <v>269</v>
      </c>
      <c r="P37" s="8">
        <v>300004</v>
      </c>
      <c r="Q37" s="272">
        <v>300008.96000000002</v>
      </c>
      <c r="Y37" s="127">
        <v>33</v>
      </c>
      <c r="Z37" s="128">
        <v>0.38</v>
      </c>
      <c r="AA37" s="128">
        <v>0.7</v>
      </c>
      <c r="AB37" s="128">
        <v>0.61</v>
      </c>
      <c r="AC37" s="128">
        <v>0.72</v>
      </c>
      <c r="AD37" s="129">
        <v>0.78</v>
      </c>
    </row>
    <row r="38" spans="2:49" ht="15">
      <c r="C38">
        <v>481</v>
      </c>
      <c r="I38">
        <v>185</v>
      </c>
      <c r="J38">
        <v>312</v>
      </c>
      <c r="P38" s="8">
        <v>300006</v>
      </c>
      <c r="Q38" s="272">
        <v>300006.03000000003</v>
      </c>
      <c r="Y38" s="127">
        <v>34</v>
      </c>
      <c r="Z38" s="128">
        <v>0.38</v>
      </c>
      <c r="AA38" s="128">
        <v>0.7</v>
      </c>
      <c r="AB38" s="128">
        <v>0.61</v>
      </c>
      <c r="AC38" s="128">
        <v>0.72</v>
      </c>
      <c r="AD38" s="129">
        <v>0.78</v>
      </c>
    </row>
    <row r="39" spans="2:49" ht="15.75" thickBot="1">
      <c r="I39">
        <v>240</v>
      </c>
      <c r="J39">
        <v>358</v>
      </c>
      <c r="P39" s="8">
        <v>300010</v>
      </c>
      <c r="Q39" s="272">
        <v>300003.63</v>
      </c>
      <c r="Y39" s="127">
        <v>35</v>
      </c>
      <c r="Z39" s="128">
        <v>0.38</v>
      </c>
      <c r="AA39" s="128">
        <v>0.7</v>
      </c>
      <c r="AB39" s="128">
        <v>0.61</v>
      </c>
      <c r="AC39" s="128">
        <v>0.72</v>
      </c>
      <c r="AD39" s="129">
        <v>0.78</v>
      </c>
    </row>
    <row r="40" spans="2:49" ht="15">
      <c r="B40" s="1">
        <v>1</v>
      </c>
      <c r="C40" s="2">
        <v>16</v>
      </c>
      <c r="P40" s="8">
        <v>300016</v>
      </c>
      <c r="Q40" s="272">
        <v>300002.32</v>
      </c>
      <c r="Y40" s="127">
        <v>36</v>
      </c>
      <c r="Z40" s="128">
        <v>0.38</v>
      </c>
      <c r="AA40" s="128">
        <v>0.7</v>
      </c>
      <c r="AB40" s="128">
        <v>0.61</v>
      </c>
      <c r="AC40" s="128">
        <v>0.72</v>
      </c>
      <c r="AD40" s="129">
        <v>0.78</v>
      </c>
    </row>
    <row r="41" spans="2:49" ht="15">
      <c r="B41" s="3">
        <v>4</v>
      </c>
      <c r="C41" s="4">
        <v>16</v>
      </c>
      <c r="H41">
        <v>240</v>
      </c>
      <c r="I41">
        <f>VLOOKUP(H41,I26:J39,2)</f>
        <v>358</v>
      </c>
      <c r="P41" s="8">
        <v>300025</v>
      </c>
      <c r="Q41" s="272">
        <v>300001.51</v>
      </c>
      <c r="Y41" s="127">
        <v>37</v>
      </c>
      <c r="Z41" s="128">
        <v>0.38</v>
      </c>
      <c r="AA41" s="128">
        <v>0.7</v>
      </c>
      <c r="AB41" s="128">
        <v>0.61</v>
      </c>
      <c r="AC41" s="128">
        <v>0.72</v>
      </c>
      <c r="AD41" s="129">
        <v>0.78</v>
      </c>
    </row>
    <row r="42" spans="2:49" ht="15">
      <c r="B42" s="5">
        <v>9</v>
      </c>
      <c r="C42" s="4">
        <v>16</v>
      </c>
      <c r="P42" s="8">
        <v>300035</v>
      </c>
      <c r="Q42" s="272">
        <v>300001.12</v>
      </c>
      <c r="Y42" s="127">
        <v>38</v>
      </c>
      <c r="Z42" s="128">
        <v>0.38</v>
      </c>
      <c r="AA42" s="128">
        <v>0.7</v>
      </c>
      <c r="AB42" s="128">
        <v>0.61</v>
      </c>
      <c r="AC42" s="128">
        <v>0.72</v>
      </c>
      <c r="AD42" s="129">
        <v>0.78</v>
      </c>
    </row>
    <row r="43" spans="2:49" ht="15">
      <c r="B43" s="5">
        <v>13.5</v>
      </c>
      <c r="C43" s="4">
        <v>20</v>
      </c>
      <c r="P43" s="8">
        <v>300050</v>
      </c>
      <c r="Q43" s="272">
        <v>300000.84999999998</v>
      </c>
      <c r="Y43" s="127">
        <v>39</v>
      </c>
      <c r="Z43" s="128">
        <v>0.38</v>
      </c>
      <c r="AA43" s="128">
        <v>0.7</v>
      </c>
      <c r="AB43" s="128">
        <v>0.61</v>
      </c>
      <c r="AC43" s="128">
        <v>0.72</v>
      </c>
      <c r="AD43" s="129">
        <v>0.78</v>
      </c>
    </row>
    <row r="44" spans="2:49" ht="15">
      <c r="B44" s="5">
        <v>17</v>
      </c>
      <c r="C44" s="4">
        <v>25</v>
      </c>
      <c r="P44" s="8">
        <v>300070</v>
      </c>
      <c r="Q44" s="272">
        <v>300000.62</v>
      </c>
      <c r="Y44" s="127">
        <v>40</v>
      </c>
      <c r="Z44" s="128">
        <v>0.38</v>
      </c>
      <c r="AA44" s="128">
        <v>0.7</v>
      </c>
      <c r="AB44" s="128">
        <v>0.61</v>
      </c>
      <c r="AC44" s="128">
        <v>0.72</v>
      </c>
      <c r="AD44" s="129">
        <v>0.78</v>
      </c>
    </row>
    <row r="45" spans="2:49" ht="15">
      <c r="B45" s="5">
        <v>22</v>
      </c>
      <c r="C45" s="4">
        <v>32</v>
      </c>
      <c r="P45" s="8">
        <v>300095</v>
      </c>
      <c r="Q45" s="272">
        <v>300000.48</v>
      </c>
      <c r="Y45" s="127">
        <v>41</v>
      </c>
      <c r="Z45" s="128">
        <v>0.38</v>
      </c>
      <c r="AA45" s="128">
        <v>0.7</v>
      </c>
      <c r="AB45" s="128">
        <v>0.61</v>
      </c>
      <c r="AC45" s="128">
        <v>0.72</v>
      </c>
      <c r="AD45" s="129">
        <v>0.78</v>
      </c>
    </row>
    <row r="46" spans="2:49" ht="15">
      <c r="B46" s="5">
        <v>26</v>
      </c>
      <c r="C46" s="4">
        <v>32</v>
      </c>
      <c r="P46" s="8">
        <v>300120</v>
      </c>
      <c r="Q46" s="272">
        <v>300000.40000000002</v>
      </c>
      <c r="Y46" s="127">
        <v>42</v>
      </c>
      <c r="Z46" s="128">
        <v>0.38</v>
      </c>
      <c r="AA46" s="128">
        <v>0.7</v>
      </c>
      <c r="AB46" s="128">
        <v>0.61</v>
      </c>
      <c r="AC46" s="128">
        <v>0.72</v>
      </c>
      <c r="AD46" s="129">
        <v>0.78</v>
      </c>
    </row>
    <row r="47" spans="2:49" ht="15">
      <c r="B47" s="5">
        <v>30</v>
      </c>
      <c r="C47" s="4">
        <v>40</v>
      </c>
      <c r="P47" s="8">
        <v>300150</v>
      </c>
      <c r="Q47" s="272">
        <v>300000.34999999998</v>
      </c>
      <c r="Y47" s="127">
        <v>43</v>
      </c>
      <c r="Z47" s="128">
        <v>0.38</v>
      </c>
      <c r="AA47" s="128">
        <v>0.7</v>
      </c>
      <c r="AB47" s="128">
        <v>0.61</v>
      </c>
      <c r="AC47" s="128">
        <v>0.72</v>
      </c>
      <c r="AD47" s="129">
        <v>0.78</v>
      </c>
    </row>
    <row r="48" spans="2:49" ht="15">
      <c r="B48" s="5">
        <v>36</v>
      </c>
      <c r="C48" s="4">
        <v>50</v>
      </c>
      <c r="P48" s="8">
        <v>300185</v>
      </c>
      <c r="Q48" s="272">
        <v>300000.3</v>
      </c>
      <c r="Y48" s="127">
        <v>44</v>
      </c>
      <c r="Z48" s="128">
        <v>0.38</v>
      </c>
      <c r="AA48" s="128">
        <v>0.7</v>
      </c>
      <c r="AB48" s="128">
        <v>0.61</v>
      </c>
      <c r="AC48" s="128">
        <v>0.72</v>
      </c>
      <c r="AD48" s="129">
        <v>0.78</v>
      </c>
    </row>
    <row r="49" spans="2:30" ht="15">
      <c r="B49" s="5">
        <v>45</v>
      </c>
      <c r="C49" s="4">
        <v>63</v>
      </c>
      <c r="P49" s="8">
        <v>300240</v>
      </c>
      <c r="Q49" s="272">
        <v>300000.26</v>
      </c>
      <c r="Y49" s="127">
        <v>45</v>
      </c>
      <c r="Z49" s="128">
        <v>0.38</v>
      </c>
      <c r="AA49" s="128">
        <v>0.7</v>
      </c>
      <c r="AB49" s="128">
        <v>0.61</v>
      </c>
      <c r="AC49" s="128">
        <v>0.72</v>
      </c>
      <c r="AD49" s="129">
        <v>0.78</v>
      </c>
    </row>
    <row r="50" spans="2:30" ht="15">
      <c r="B50" s="5">
        <v>57</v>
      </c>
      <c r="C50" s="4">
        <v>70</v>
      </c>
      <c r="P50" s="8">
        <v>400000</v>
      </c>
      <c r="Q50" s="271" t="s">
        <v>173</v>
      </c>
      <c r="Y50" s="127">
        <v>46</v>
      </c>
      <c r="Z50" s="128">
        <v>0.38</v>
      </c>
      <c r="AA50" s="128">
        <v>0.7</v>
      </c>
      <c r="AB50" s="128">
        <v>0.61</v>
      </c>
      <c r="AC50" s="128">
        <v>0.72</v>
      </c>
      <c r="AD50" s="129">
        <v>0.78</v>
      </c>
    </row>
    <row r="51" spans="2:30" ht="15">
      <c r="B51" s="5">
        <v>64</v>
      </c>
      <c r="C51" s="4">
        <v>80</v>
      </c>
      <c r="P51" s="8">
        <v>400001.5</v>
      </c>
      <c r="Q51" s="272">
        <v>400027.6</v>
      </c>
      <c r="Y51" s="127">
        <v>47</v>
      </c>
      <c r="Z51" s="128">
        <v>0.38</v>
      </c>
      <c r="AA51" s="128">
        <v>0.7</v>
      </c>
      <c r="AB51" s="128">
        <v>0.61</v>
      </c>
      <c r="AC51" s="128">
        <v>0.72</v>
      </c>
      <c r="AD51" s="129">
        <v>0.78</v>
      </c>
    </row>
    <row r="52" spans="2:30" ht="15">
      <c r="B52" s="5">
        <v>75</v>
      </c>
      <c r="C52" s="4">
        <v>90</v>
      </c>
      <c r="P52" s="8">
        <v>400002.5</v>
      </c>
      <c r="Q52" s="272">
        <v>400016.9</v>
      </c>
      <c r="Y52" s="127">
        <v>48</v>
      </c>
      <c r="Z52" s="128">
        <v>0.38</v>
      </c>
      <c r="AA52" s="128">
        <v>0.7</v>
      </c>
      <c r="AB52" s="128">
        <v>0.61</v>
      </c>
      <c r="AC52" s="128">
        <v>0.72</v>
      </c>
      <c r="AD52" s="129">
        <v>0.78</v>
      </c>
    </row>
    <row r="53" spans="2:30" ht="15">
      <c r="B53" s="5">
        <v>85</v>
      </c>
      <c r="C53" s="4">
        <v>100</v>
      </c>
      <c r="P53" s="8">
        <v>400004</v>
      </c>
      <c r="Q53" s="272">
        <v>400010.6</v>
      </c>
      <c r="Y53" s="127">
        <v>49</v>
      </c>
      <c r="Z53" s="128">
        <v>0.38</v>
      </c>
      <c r="AA53" s="128">
        <v>0.7</v>
      </c>
      <c r="AB53" s="128">
        <v>0.61</v>
      </c>
      <c r="AC53" s="128">
        <v>0.72</v>
      </c>
      <c r="AD53" s="129">
        <v>0.78</v>
      </c>
    </row>
    <row r="54" spans="2:30" ht="15">
      <c r="B54" s="5">
        <v>92</v>
      </c>
      <c r="C54" s="4">
        <v>125</v>
      </c>
      <c r="P54" s="8">
        <v>400006</v>
      </c>
      <c r="Q54" s="272">
        <v>400007.07</v>
      </c>
      <c r="Y54" s="127">
        <v>50</v>
      </c>
      <c r="Z54" s="128">
        <v>0.38</v>
      </c>
      <c r="AA54" s="128">
        <v>0.7</v>
      </c>
      <c r="AB54" s="128">
        <v>0.61</v>
      </c>
      <c r="AC54" s="128">
        <v>0.72</v>
      </c>
      <c r="AD54" s="129">
        <v>0.78</v>
      </c>
    </row>
    <row r="55" spans="2:30" ht="15">
      <c r="B55" s="5">
        <v>115</v>
      </c>
      <c r="C55" s="4">
        <v>150</v>
      </c>
      <c r="P55" s="8">
        <v>400010</v>
      </c>
      <c r="Q55" s="272">
        <v>400004.23</v>
      </c>
      <c r="Y55" s="127">
        <v>51</v>
      </c>
      <c r="Z55" s="128">
        <v>0.38</v>
      </c>
      <c r="AA55" s="128">
        <v>0.7</v>
      </c>
      <c r="AB55" s="128">
        <v>0.61</v>
      </c>
      <c r="AC55" s="128">
        <v>0.72</v>
      </c>
      <c r="AD55" s="129">
        <v>0.78</v>
      </c>
    </row>
    <row r="56" spans="2:30" ht="15">
      <c r="B56" s="5">
        <v>135</v>
      </c>
      <c r="C56" s="4">
        <v>175</v>
      </c>
      <c r="P56" s="8">
        <v>400016</v>
      </c>
      <c r="Q56" s="272">
        <v>400002.68</v>
      </c>
      <c r="Y56" s="127">
        <v>52</v>
      </c>
      <c r="Z56" s="128">
        <v>0.38</v>
      </c>
      <c r="AA56" s="128">
        <v>0.7</v>
      </c>
      <c r="AB56" s="128">
        <v>0.61</v>
      </c>
      <c r="AC56" s="128">
        <v>0.72</v>
      </c>
      <c r="AD56" s="129">
        <v>0.78</v>
      </c>
    </row>
    <row r="57" spans="2:30" ht="15">
      <c r="B57" s="5">
        <v>160</v>
      </c>
      <c r="C57" s="4">
        <v>200</v>
      </c>
      <c r="P57" s="8">
        <v>400025</v>
      </c>
      <c r="Q57" s="272">
        <v>400001.71</v>
      </c>
      <c r="Y57" s="127">
        <v>53</v>
      </c>
      <c r="Z57" s="128">
        <v>0.38</v>
      </c>
      <c r="AA57" s="128">
        <v>0.7</v>
      </c>
      <c r="AB57" s="128">
        <v>0.61</v>
      </c>
      <c r="AC57" s="128">
        <v>0.72</v>
      </c>
      <c r="AD57" s="129">
        <v>0.78</v>
      </c>
    </row>
    <row r="58" spans="2:30" ht="15">
      <c r="B58" s="5">
        <v>180</v>
      </c>
      <c r="C58" s="4">
        <v>225</v>
      </c>
      <c r="P58" s="8">
        <v>400035</v>
      </c>
      <c r="Q58" s="272">
        <v>400001.25</v>
      </c>
      <c r="Y58" s="127">
        <v>54</v>
      </c>
      <c r="Z58" s="128">
        <v>0.38</v>
      </c>
      <c r="AA58" s="128">
        <v>0.7</v>
      </c>
      <c r="AB58" s="128">
        <v>0.61</v>
      </c>
      <c r="AC58" s="128">
        <v>0.72</v>
      </c>
      <c r="AD58" s="129">
        <v>0.78</v>
      </c>
    </row>
    <row r="59" spans="2:30" ht="15">
      <c r="B59" s="5">
        <v>205</v>
      </c>
      <c r="C59" s="4">
        <v>250</v>
      </c>
      <c r="P59" s="8">
        <v>400050</v>
      </c>
      <c r="Q59" s="272">
        <v>400000.94</v>
      </c>
      <c r="Y59" s="127">
        <v>55</v>
      </c>
      <c r="Z59" s="128">
        <v>0.38</v>
      </c>
      <c r="AA59" s="128">
        <v>0.7</v>
      </c>
      <c r="AB59" s="128">
        <v>0.61</v>
      </c>
      <c r="AC59" s="128">
        <v>0.72</v>
      </c>
      <c r="AD59" s="129">
        <v>0.78</v>
      </c>
    </row>
    <row r="60" spans="2:30" ht="15">
      <c r="B60" s="5">
        <v>230</v>
      </c>
      <c r="C60" s="4">
        <v>275</v>
      </c>
      <c r="P60" s="8">
        <v>400070</v>
      </c>
      <c r="Q60" s="272">
        <v>400000.67</v>
      </c>
      <c r="Y60" s="127">
        <v>56</v>
      </c>
      <c r="Z60" s="128">
        <v>0.38</v>
      </c>
      <c r="AA60" s="128">
        <v>0.7</v>
      </c>
      <c r="AB60" s="128">
        <v>0.61</v>
      </c>
      <c r="AC60" s="128">
        <v>0.72</v>
      </c>
      <c r="AD60" s="129">
        <v>0.78</v>
      </c>
    </row>
    <row r="61" spans="2:30" ht="15">
      <c r="B61" s="5">
        <v>255</v>
      </c>
      <c r="C61" s="4">
        <v>300</v>
      </c>
      <c r="P61" s="8">
        <v>400095</v>
      </c>
      <c r="Q61" s="272">
        <v>400000.5</v>
      </c>
      <c r="Y61" s="127">
        <v>57</v>
      </c>
      <c r="Z61" s="128">
        <v>0.38</v>
      </c>
      <c r="AA61" s="128">
        <v>0.7</v>
      </c>
      <c r="AB61" s="128">
        <v>0.61</v>
      </c>
      <c r="AC61" s="128">
        <v>0.72</v>
      </c>
      <c r="AD61" s="129">
        <v>0.78</v>
      </c>
    </row>
    <row r="62" spans="2:30" ht="15">
      <c r="B62" s="5">
        <v>280</v>
      </c>
      <c r="C62" s="4">
        <v>320</v>
      </c>
      <c r="P62" s="8">
        <v>400120</v>
      </c>
      <c r="Q62" s="272">
        <v>400000.41</v>
      </c>
      <c r="Y62" s="127">
        <v>58</v>
      </c>
      <c r="Z62" s="128">
        <v>0.38</v>
      </c>
      <c r="AA62" s="128">
        <v>0.7</v>
      </c>
      <c r="AB62" s="128">
        <v>0.61</v>
      </c>
      <c r="AC62" s="128">
        <v>0.72</v>
      </c>
      <c r="AD62" s="129">
        <v>0.78</v>
      </c>
    </row>
    <row r="63" spans="2:30" ht="15">
      <c r="B63" s="5">
        <v>290</v>
      </c>
      <c r="C63" s="4">
        <v>350</v>
      </c>
      <c r="P63" s="8">
        <v>400150</v>
      </c>
      <c r="Q63" s="272">
        <v>400000.34</v>
      </c>
      <c r="Y63" s="127">
        <v>59</v>
      </c>
      <c r="Z63" s="128">
        <v>0.38</v>
      </c>
      <c r="AA63" s="128">
        <v>0.7</v>
      </c>
      <c r="AB63" s="128">
        <v>0.61</v>
      </c>
      <c r="AC63" s="128">
        <v>0.72</v>
      </c>
      <c r="AD63" s="129">
        <v>0.78</v>
      </c>
    </row>
    <row r="64" spans="2:30" ht="15">
      <c r="B64" s="5">
        <v>330</v>
      </c>
      <c r="C64" s="4">
        <v>400</v>
      </c>
      <c r="P64" s="8">
        <v>400185</v>
      </c>
      <c r="Q64" s="272">
        <v>400000.29</v>
      </c>
      <c r="Y64" s="127">
        <v>60</v>
      </c>
      <c r="Z64" s="128">
        <v>0.38</v>
      </c>
      <c r="AA64" s="128">
        <v>0.7</v>
      </c>
      <c r="AB64" s="128">
        <v>0.61</v>
      </c>
      <c r="AC64" s="128">
        <v>0.72</v>
      </c>
      <c r="AD64" s="129">
        <v>0.78</v>
      </c>
    </row>
    <row r="65" spans="2:30" ht="15">
      <c r="B65" s="5">
        <v>375</v>
      </c>
      <c r="C65" s="4">
        <v>450</v>
      </c>
      <c r="P65" s="8">
        <v>400240</v>
      </c>
      <c r="Q65" s="272">
        <v>400000.24</v>
      </c>
      <c r="Y65" s="127">
        <v>61</v>
      </c>
      <c r="Z65" s="128">
        <v>0.38</v>
      </c>
      <c r="AA65" s="128">
        <v>0.7</v>
      </c>
      <c r="AB65" s="128">
        <v>0.61</v>
      </c>
      <c r="AC65" s="128">
        <v>0.72</v>
      </c>
      <c r="AD65" s="129">
        <v>0.78</v>
      </c>
    </row>
    <row r="66" spans="2:30" ht="15">
      <c r="B66" s="5">
        <v>420</v>
      </c>
      <c r="C66" s="4">
        <v>500</v>
      </c>
      <c r="P66" s="8">
        <v>500000</v>
      </c>
      <c r="Q66" s="271" t="s">
        <v>173</v>
      </c>
      <c r="Y66" s="127">
        <v>62</v>
      </c>
      <c r="Z66" s="128">
        <v>0.38</v>
      </c>
      <c r="AA66" s="128">
        <v>0.7</v>
      </c>
      <c r="AB66" s="128">
        <v>0.61</v>
      </c>
      <c r="AC66" s="128">
        <v>0.72</v>
      </c>
      <c r="AD66" s="129">
        <v>0.78</v>
      </c>
    </row>
    <row r="67" spans="2:30" ht="15">
      <c r="B67" s="5">
        <v>470</v>
      </c>
      <c r="C67" s="4">
        <v>600</v>
      </c>
      <c r="P67" s="8">
        <v>500001.5</v>
      </c>
      <c r="Q67" s="272">
        <v>500020.2</v>
      </c>
      <c r="Y67" s="127">
        <v>63</v>
      </c>
      <c r="Z67" s="128">
        <v>0.38</v>
      </c>
      <c r="AA67" s="128">
        <v>0.7</v>
      </c>
      <c r="AB67" s="128">
        <v>0.61</v>
      </c>
      <c r="AC67" s="128">
        <v>0.72</v>
      </c>
      <c r="AD67" s="129">
        <v>0.78</v>
      </c>
    </row>
    <row r="68" spans="2:30" ht="15">
      <c r="B68" s="5">
        <v>570</v>
      </c>
      <c r="C68" s="4">
        <v>700</v>
      </c>
      <c r="P68" s="8">
        <v>500002.5</v>
      </c>
      <c r="Q68" s="272">
        <v>500012.4</v>
      </c>
      <c r="Y68" s="127">
        <v>64</v>
      </c>
      <c r="Z68" s="128">
        <v>0.38</v>
      </c>
      <c r="AA68" s="128">
        <v>0.7</v>
      </c>
      <c r="AB68" s="128">
        <v>0.61</v>
      </c>
      <c r="AC68" s="128">
        <v>0.72</v>
      </c>
      <c r="AD68" s="129">
        <v>0.78</v>
      </c>
    </row>
    <row r="69" spans="2:30" ht="15">
      <c r="B69" s="5">
        <v>670</v>
      </c>
      <c r="C69" s="4">
        <v>800</v>
      </c>
      <c r="P69" s="8">
        <v>500004</v>
      </c>
      <c r="Q69" s="272">
        <v>500007.79</v>
      </c>
      <c r="Y69" s="127">
        <v>65</v>
      </c>
      <c r="Z69" s="128">
        <v>0.38</v>
      </c>
      <c r="AA69" s="128">
        <v>0.7</v>
      </c>
      <c r="AB69" s="128">
        <v>0.61</v>
      </c>
      <c r="AC69" s="128">
        <v>0.72</v>
      </c>
      <c r="AD69" s="129">
        <v>0.78</v>
      </c>
    </row>
    <row r="70" spans="2:30" ht="15">
      <c r="B70" s="5">
        <v>770</v>
      </c>
      <c r="C70" s="4">
        <v>1000</v>
      </c>
      <c r="P70" s="8">
        <v>500006</v>
      </c>
      <c r="Q70" s="272">
        <v>500005.25</v>
      </c>
      <c r="Y70" s="127">
        <v>66</v>
      </c>
      <c r="Z70" s="128">
        <v>0.38</v>
      </c>
      <c r="AA70" s="128">
        <v>0.7</v>
      </c>
      <c r="AB70" s="128">
        <v>0.61</v>
      </c>
      <c r="AC70" s="128">
        <v>0.72</v>
      </c>
      <c r="AD70" s="129">
        <v>0.78</v>
      </c>
    </row>
    <row r="71" spans="2:30" ht="15">
      <c r="B71" s="5">
        <v>950</v>
      </c>
      <c r="C71" s="4">
        <v>1200</v>
      </c>
      <c r="P71" s="8">
        <v>500010</v>
      </c>
      <c r="Q71" s="272">
        <v>500003.17</v>
      </c>
      <c r="Y71" s="127">
        <v>67</v>
      </c>
      <c r="Z71" s="128">
        <v>0.38</v>
      </c>
      <c r="AA71" s="128">
        <v>0.7</v>
      </c>
      <c r="AB71" s="128">
        <v>0.61</v>
      </c>
      <c r="AC71" s="128">
        <v>0.72</v>
      </c>
      <c r="AD71" s="129">
        <v>0.78</v>
      </c>
    </row>
    <row r="72" spans="2:30" ht="15">
      <c r="B72" s="5">
        <v>1150</v>
      </c>
      <c r="C72" s="4">
        <v>1400</v>
      </c>
      <c r="P72" s="8">
        <v>500016</v>
      </c>
      <c r="Q72" s="272">
        <v>500002.03</v>
      </c>
      <c r="Y72" s="127">
        <v>68</v>
      </c>
      <c r="Z72" s="128">
        <v>0.38</v>
      </c>
      <c r="AA72" s="128">
        <v>0.7</v>
      </c>
      <c r="AB72" s="128">
        <v>0.61</v>
      </c>
      <c r="AC72" s="128">
        <v>0.72</v>
      </c>
      <c r="AD72" s="129">
        <v>0.78</v>
      </c>
    </row>
    <row r="73" spans="2:30" ht="15">
      <c r="B73" s="5">
        <v>1350</v>
      </c>
      <c r="C73" s="4">
        <v>1600</v>
      </c>
      <c r="P73" s="8">
        <v>500025</v>
      </c>
      <c r="Q73" s="272">
        <v>500001.33</v>
      </c>
      <c r="Y73" s="127">
        <v>69</v>
      </c>
      <c r="Z73" s="128">
        <v>0.38</v>
      </c>
      <c r="AA73" s="128">
        <v>0.7</v>
      </c>
      <c r="AB73" s="128">
        <v>0.61</v>
      </c>
      <c r="AC73" s="128">
        <v>0.72</v>
      </c>
      <c r="AD73" s="129">
        <v>0.78</v>
      </c>
    </row>
    <row r="74" spans="2:30" ht="15">
      <c r="B74" s="5">
        <v>1500</v>
      </c>
      <c r="C74" s="4">
        <v>1700</v>
      </c>
      <c r="P74" s="8">
        <v>500035</v>
      </c>
      <c r="Q74" s="272">
        <v>500000.98</v>
      </c>
      <c r="Y74" s="127">
        <v>70</v>
      </c>
      <c r="Z74" s="128">
        <v>0.38</v>
      </c>
      <c r="AA74" s="128">
        <v>0.7</v>
      </c>
      <c r="AB74" s="128">
        <v>0.61</v>
      </c>
      <c r="AC74" s="128">
        <v>0.72</v>
      </c>
      <c r="AD74" s="129">
        <v>0.78</v>
      </c>
    </row>
    <row r="75" spans="2:30" ht="15">
      <c r="B75" s="5">
        <v>1600</v>
      </c>
      <c r="C75" s="4">
        <v>1800</v>
      </c>
      <c r="P75" s="8">
        <v>500050</v>
      </c>
      <c r="Q75" s="272">
        <v>500000.76</v>
      </c>
      <c r="Y75" s="127">
        <v>71</v>
      </c>
      <c r="Z75" s="128">
        <v>0.38</v>
      </c>
      <c r="AA75" s="128">
        <v>0.7</v>
      </c>
      <c r="AB75" s="128">
        <v>0.61</v>
      </c>
      <c r="AC75" s="128">
        <v>0.72</v>
      </c>
      <c r="AD75" s="129">
        <v>0.78</v>
      </c>
    </row>
    <row r="76" spans="2:30" ht="15">
      <c r="B76" s="5">
        <v>1700</v>
      </c>
      <c r="C76" s="4">
        <v>2000</v>
      </c>
      <c r="P76" s="8">
        <v>500070</v>
      </c>
      <c r="Q76" s="272">
        <v>500000.55</v>
      </c>
      <c r="Y76" s="127">
        <v>72</v>
      </c>
      <c r="Z76" s="128">
        <v>0.38</v>
      </c>
      <c r="AA76" s="128">
        <v>0.7</v>
      </c>
      <c r="AB76" s="128">
        <v>0.61</v>
      </c>
      <c r="AC76" s="128">
        <v>0.72</v>
      </c>
      <c r="AD76" s="129">
        <v>0.78</v>
      </c>
    </row>
    <row r="77" spans="2:30" ht="15">
      <c r="B77" s="5">
        <v>1900</v>
      </c>
      <c r="C77" s="4">
        <v>2500</v>
      </c>
      <c r="P77" s="8">
        <v>500095</v>
      </c>
      <c r="Q77" s="272">
        <v>500000.43</v>
      </c>
      <c r="Y77" s="127">
        <v>73</v>
      </c>
      <c r="Z77" s="128">
        <v>0.38</v>
      </c>
      <c r="AA77" s="128">
        <v>0.7</v>
      </c>
      <c r="AB77" s="128">
        <v>0.61</v>
      </c>
      <c r="AC77" s="128">
        <v>0.72</v>
      </c>
      <c r="AD77" s="129">
        <v>0.78</v>
      </c>
    </row>
    <row r="78" spans="2:30" ht="15">
      <c r="B78" s="5">
        <v>2350</v>
      </c>
      <c r="C78" s="4">
        <v>3000</v>
      </c>
      <c r="P78" s="8">
        <v>500120</v>
      </c>
      <c r="Q78" s="272">
        <v>500000.36</v>
      </c>
      <c r="Y78" s="127">
        <v>74</v>
      </c>
      <c r="Z78" s="128">
        <v>0.38</v>
      </c>
      <c r="AA78" s="128">
        <v>0.7</v>
      </c>
      <c r="AB78" s="128">
        <v>0.61</v>
      </c>
      <c r="AC78" s="128">
        <v>0.72</v>
      </c>
      <c r="AD78" s="129">
        <v>0.78</v>
      </c>
    </row>
    <row r="79" spans="2:30" ht="15">
      <c r="B79" s="5">
        <v>2800</v>
      </c>
      <c r="C79" s="4">
        <v>4000</v>
      </c>
      <c r="P79" s="8">
        <v>500150</v>
      </c>
      <c r="Q79" s="272">
        <v>500000.31</v>
      </c>
      <c r="Y79" s="127">
        <v>75</v>
      </c>
      <c r="Z79" s="128">
        <v>0.38</v>
      </c>
      <c r="AA79" s="128">
        <v>0.7</v>
      </c>
      <c r="AB79" s="128">
        <v>0.61</v>
      </c>
      <c r="AC79" s="128">
        <v>0.72</v>
      </c>
      <c r="AD79" s="129">
        <v>0.78</v>
      </c>
    </row>
    <row r="80" spans="2:30" ht="15">
      <c r="B80" s="5">
        <v>3800</v>
      </c>
      <c r="C80" s="4">
        <v>4500</v>
      </c>
      <c r="P80" s="8">
        <v>500185</v>
      </c>
      <c r="Q80" s="272">
        <v>500000.27</v>
      </c>
      <c r="Y80" s="127">
        <v>76</v>
      </c>
      <c r="Z80" s="128">
        <v>0.38</v>
      </c>
      <c r="AA80" s="128">
        <v>0.7</v>
      </c>
      <c r="AB80" s="128">
        <v>0.61</v>
      </c>
      <c r="AC80" s="128">
        <v>0.72</v>
      </c>
      <c r="AD80" s="129">
        <v>0.78</v>
      </c>
    </row>
    <row r="81" spans="2:30" ht="15">
      <c r="B81" s="5">
        <v>4250</v>
      </c>
      <c r="C81" s="4">
        <v>5000</v>
      </c>
      <c r="P81" s="8">
        <v>500240</v>
      </c>
      <c r="Q81" s="272">
        <v>500000.23</v>
      </c>
      <c r="Y81" s="127">
        <v>77</v>
      </c>
      <c r="Z81" s="128">
        <v>0.38</v>
      </c>
      <c r="AA81" s="128">
        <v>0.7</v>
      </c>
      <c r="AB81" s="128">
        <v>0.61</v>
      </c>
      <c r="AC81" s="128">
        <v>0.72</v>
      </c>
      <c r="AD81" s="129">
        <v>0.78</v>
      </c>
    </row>
    <row r="82" spans="2:30" ht="15.75" thickBot="1">
      <c r="B82" s="6">
        <v>4700</v>
      </c>
      <c r="C82" s="7" t="s">
        <v>230</v>
      </c>
      <c r="P82" s="273">
        <v>600000</v>
      </c>
      <c r="Q82" s="271" t="s">
        <v>173</v>
      </c>
      <c r="Y82" s="127">
        <v>78</v>
      </c>
      <c r="Z82" s="128">
        <v>0.38</v>
      </c>
      <c r="AA82" s="128">
        <v>0.7</v>
      </c>
      <c r="AB82" s="128">
        <v>0.61</v>
      </c>
      <c r="AC82" s="128">
        <v>0.72</v>
      </c>
      <c r="AD82" s="129">
        <v>0.78</v>
      </c>
    </row>
    <row r="83" spans="2:30" ht="15">
      <c r="P83" s="8">
        <v>600001.5</v>
      </c>
      <c r="Q83" s="272">
        <v>600023.9</v>
      </c>
      <c r="Y83" s="127">
        <v>79</v>
      </c>
      <c r="Z83" s="128">
        <v>0.38</v>
      </c>
      <c r="AA83" s="128">
        <v>0.7</v>
      </c>
      <c r="AB83" s="128">
        <v>0.61</v>
      </c>
      <c r="AC83" s="128">
        <v>0.72</v>
      </c>
      <c r="AD83" s="129">
        <v>0.78</v>
      </c>
    </row>
    <row r="84" spans="2:30" ht="15">
      <c r="P84" s="8">
        <v>600002.5</v>
      </c>
      <c r="Q84" s="272">
        <v>600014.69999999995</v>
      </c>
      <c r="Y84" s="127">
        <v>80</v>
      </c>
      <c r="Z84" s="128">
        <v>0.38</v>
      </c>
      <c r="AA84" s="128">
        <v>0.7</v>
      </c>
      <c r="AB84" s="128">
        <v>0.61</v>
      </c>
      <c r="AC84" s="128">
        <v>0.72</v>
      </c>
      <c r="AD84" s="129">
        <v>0.78</v>
      </c>
    </row>
    <row r="85" spans="2:30" ht="15">
      <c r="P85" s="8">
        <v>600004</v>
      </c>
      <c r="Q85" s="272">
        <v>600009.15</v>
      </c>
      <c r="Y85" s="127">
        <v>81</v>
      </c>
      <c r="Z85" s="128">
        <v>0.38</v>
      </c>
      <c r="AA85" s="128">
        <v>0.7</v>
      </c>
      <c r="AB85" s="128">
        <v>0.61</v>
      </c>
      <c r="AC85" s="128">
        <v>0.72</v>
      </c>
      <c r="AD85" s="129">
        <v>0.78</v>
      </c>
    </row>
    <row r="86" spans="2:30" ht="15">
      <c r="P86" s="8">
        <v>600006</v>
      </c>
      <c r="Q86" s="272">
        <v>600006.14</v>
      </c>
      <c r="Y86" s="127">
        <v>82</v>
      </c>
      <c r="Z86" s="128">
        <v>0.38</v>
      </c>
      <c r="AA86" s="128">
        <v>0.7</v>
      </c>
      <c r="AB86" s="128">
        <v>0.61</v>
      </c>
      <c r="AC86" s="128">
        <v>0.72</v>
      </c>
      <c r="AD86" s="129">
        <v>0.78</v>
      </c>
    </row>
    <row r="87" spans="2:30" ht="15">
      <c r="P87" s="8">
        <v>600010</v>
      </c>
      <c r="Q87" s="272">
        <v>600003.67000000004</v>
      </c>
      <c r="Y87" s="127">
        <v>83</v>
      </c>
      <c r="Z87" s="128">
        <v>0.38</v>
      </c>
      <c r="AA87" s="128">
        <v>0.7</v>
      </c>
      <c r="AB87" s="128">
        <v>0.61</v>
      </c>
      <c r="AC87" s="128">
        <v>0.72</v>
      </c>
      <c r="AD87" s="129">
        <v>0.78</v>
      </c>
    </row>
    <row r="88" spans="2:30" ht="15">
      <c r="P88" s="8">
        <v>600016</v>
      </c>
      <c r="Q88" s="272">
        <v>600002.32999999996</v>
      </c>
      <c r="Y88" s="127">
        <v>84</v>
      </c>
      <c r="Z88" s="128">
        <v>0.38</v>
      </c>
      <c r="AA88" s="128">
        <v>0.7</v>
      </c>
      <c r="AB88" s="128">
        <v>0.61</v>
      </c>
      <c r="AC88" s="128">
        <v>0.72</v>
      </c>
      <c r="AD88" s="129">
        <v>0.78</v>
      </c>
    </row>
    <row r="89" spans="2:30" ht="15">
      <c r="P89" s="8">
        <v>600025</v>
      </c>
      <c r="Q89" s="272">
        <v>600001.49</v>
      </c>
      <c r="Y89" s="127">
        <v>85</v>
      </c>
      <c r="Z89" s="128">
        <v>0.38</v>
      </c>
      <c r="AA89" s="128">
        <v>0.7</v>
      </c>
      <c r="AB89" s="128">
        <v>0.61</v>
      </c>
      <c r="AC89" s="128">
        <v>0.72</v>
      </c>
      <c r="AD89" s="129">
        <v>0.78</v>
      </c>
    </row>
    <row r="90" spans="2:30" ht="15">
      <c r="P90" s="8">
        <v>600035</v>
      </c>
      <c r="Q90" s="272">
        <v>600001.09</v>
      </c>
      <c r="Y90" s="127">
        <v>86</v>
      </c>
      <c r="Z90" s="128">
        <v>0.38</v>
      </c>
      <c r="AA90" s="128">
        <v>0.7</v>
      </c>
      <c r="AB90" s="128">
        <v>0.61</v>
      </c>
      <c r="AC90" s="128">
        <v>0.72</v>
      </c>
      <c r="AD90" s="129">
        <v>0.78</v>
      </c>
    </row>
    <row r="91" spans="2:30" ht="15">
      <c r="P91" s="8">
        <v>600050</v>
      </c>
      <c r="Q91" s="272">
        <v>600000.81999999995</v>
      </c>
      <c r="Y91" s="127">
        <v>87</v>
      </c>
      <c r="Z91" s="128">
        <v>0.38</v>
      </c>
      <c r="AA91" s="128">
        <v>0.7</v>
      </c>
      <c r="AB91" s="128">
        <v>0.61</v>
      </c>
      <c r="AC91" s="128">
        <v>0.72</v>
      </c>
      <c r="AD91" s="129">
        <v>0.78</v>
      </c>
    </row>
    <row r="92" spans="2:30" ht="15">
      <c r="P92" s="8">
        <v>600070</v>
      </c>
      <c r="Q92" s="272">
        <v>600000.59</v>
      </c>
      <c r="Y92" s="127">
        <v>88</v>
      </c>
      <c r="Z92" s="128">
        <v>0.38</v>
      </c>
      <c r="AA92" s="128">
        <v>0.7</v>
      </c>
      <c r="AB92" s="128">
        <v>0.61</v>
      </c>
      <c r="AC92" s="128">
        <v>0.72</v>
      </c>
      <c r="AD92" s="129">
        <v>0.78</v>
      </c>
    </row>
    <row r="93" spans="2:30" ht="15">
      <c r="P93" s="8">
        <v>600095</v>
      </c>
      <c r="Q93" s="272">
        <v>600000.43999999994</v>
      </c>
      <c r="Y93" s="127">
        <v>89</v>
      </c>
      <c r="Z93" s="128">
        <v>0.38</v>
      </c>
      <c r="AA93" s="128">
        <v>0.7</v>
      </c>
      <c r="AB93" s="128">
        <v>0.61</v>
      </c>
      <c r="AC93" s="128">
        <v>0.72</v>
      </c>
      <c r="AD93" s="129">
        <v>0.78</v>
      </c>
    </row>
    <row r="94" spans="2:30" ht="15">
      <c r="P94" s="8">
        <v>600120</v>
      </c>
      <c r="Q94" s="272">
        <v>600000.36</v>
      </c>
      <c r="Y94" s="127">
        <v>90</v>
      </c>
      <c r="Z94" s="128">
        <v>0.38</v>
      </c>
      <c r="AA94" s="128">
        <v>0.7</v>
      </c>
      <c r="AB94" s="128">
        <v>0.61</v>
      </c>
      <c r="AC94" s="128">
        <v>0.72</v>
      </c>
      <c r="AD94" s="129">
        <v>0.78</v>
      </c>
    </row>
    <row r="95" spans="2:30" ht="15">
      <c r="P95" s="8">
        <v>600150</v>
      </c>
      <c r="Q95" s="272">
        <v>600000.30000000005</v>
      </c>
      <c r="Y95" s="127">
        <v>91</v>
      </c>
      <c r="Z95" s="128">
        <v>0.38</v>
      </c>
      <c r="AA95" s="128">
        <v>0.7</v>
      </c>
      <c r="AB95" s="128">
        <v>0.61</v>
      </c>
      <c r="AC95" s="128">
        <v>0.72</v>
      </c>
      <c r="AD95" s="129">
        <v>0.78</v>
      </c>
    </row>
    <row r="96" spans="2:30" ht="15">
      <c r="P96" s="8">
        <v>600185</v>
      </c>
      <c r="Q96" s="272">
        <v>600000.25</v>
      </c>
      <c r="Y96" s="127">
        <v>92</v>
      </c>
      <c r="Z96" s="128">
        <v>0.38</v>
      </c>
      <c r="AA96" s="128">
        <v>0.7</v>
      </c>
      <c r="AB96" s="128">
        <v>0.61</v>
      </c>
      <c r="AC96" s="128">
        <v>0.72</v>
      </c>
      <c r="AD96" s="129">
        <v>0.78</v>
      </c>
    </row>
    <row r="97" spans="16:30" ht="15">
      <c r="P97" s="8">
        <v>600240</v>
      </c>
      <c r="Q97" s="272">
        <v>600000.21</v>
      </c>
      <c r="Y97" s="127">
        <v>93</v>
      </c>
      <c r="Z97" s="128">
        <v>0.38</v>
      </c>
      <c r="AA97" s="128">
        <v>0.7</v>
      </c>
      <c r="AB97" s="128">
        <v>0.61</v>
      </c>
      <c r="AC97" s="128">
        <v>0.72</v>
      </c>
      <c r="AD97" s="129">
        <v>0.78</v>
      </c>
    </row>
    <row r="98" spans="16:30" ht="15">
      <c r="Y98" s="127">
        <v>94</v>
      </c>
      <c r="Z98" s="128">
        <v>0.38</v>
      </c>
      <c r="AA98" s="128">
        <v>0.7</v>
      </c>
      <c r="AB98" s="128">
        <v>0.61</v>
      </c>
      <c r="AC98" s="128">
        <v>0.72</v>
      </c>
      <c r="AD98" s="129">
        <v>0.78</v>
      </c>
    </row>
    <row r="99" spans="16:30" ht="15">
      <c r="Y99" s="127">
        <v>95</v>
      </c>
      <c r="Z99" s="128">
        <v>0.38</v>
      </c>
      <c r="AA99" s="128">
        <v>0.7</v>
      </c>
      <c r="AB99" s="128">
        <v>0.61</v>
      </c>
      <c r="AC99" s="128">
        <v>0.72</v>
      </c>
      <c r="AD99" s="129">
        <v>0.78</v>
      </c>
    </row>
    <row r="100" spans="16:30" ht="15">
      <c r="Y100" s="127">
        <v>96</v>
      </c>
      <c r="Z100" s="128">
        <v>0.38</v>
      </c>
      <c r="AA100" s="128">
        <v>0.7</v>
      </c>
      <c r="AB100" s="128">
        <v>0.61</v>
      </c>
      <c r="AC100" s="128">
        <v>0.72</v>
      </c>
      <c r="AD100" s="129">
        <v>0.78</v>
      </c>
    </row>
    <row r="101" spans="16:30" ht="15">
      <c r="Y101" s="127">
        <v>97</v>
      </c>
      <c r="Z101" s="128">
        <v>0.38</v>
      </c>
      <c r="AA101" s="128">
        <v>0.7</v>
      </c>
      <c r="AB101" s="128">
        <v>0.61</v>
      </c>
      <c r="AC101" s="128">
        <v>0.72</v>
      </c>
      <c r="AD101" s="129">
        <v>0.78</v>
      </c>
    </row>
    <row r="102" spans="16:30" ht="15">
      <c r="Y102" s="127">
        <v>98</v>
      </c>
      <c r="Z102" s="128">
        <v>0.38</v>
      </c>
      <c r="AA102" s="128">
        <v>0.7</v>
      </c>
      <c r="AB102" s="128">
        <v>0.61</v>
      </c>
      <c r="AC102" s="128">
        <v>0.72</v>
      </c>
      <c r="AD102" s="129">
        <v>0.78</v>
      </c>
    </row>
    <row r="103" spans="16:30" ht="15">
      <c r="Y103" s="127">
        <v>99</v>
      </c>
      <c r="Z103" s="128">
        <v>0.38</v>
      </c>
      <c r="AA103" s="128">
        <v>0.7</v>
      </c>
      <c r="AB103" s="128">
        <v>0.61</v>
      </c>
      <c r="AC103" s="128">
        <v>0.72</v>
      </c>
      <c r="AD103" s="129">
        <v>0.78</v>
      </c>
    </row>
    <row r="104" spans="16:30" ht="15">
      <c r="Y104" s="127">
        <v>100</v>
      </c>
      <c r="Z104" s="128">
        <v>0.38</v>
      </c>
      <c r="AA104" s="128">
        <v>0.7</v>
      </c>
      <c r="AB104" s="128">
        <v>0.61</v>
      </c>
      <c r="AC104" s="128">
        <v>0.72</v>
      </c>
      <c r="AD104" s="129">
        <v>0.78</v>
      </c>
    </row>
    <row r="105" spans="16:30" ht="15">
      <c r="Y105" s="127">
        <v>101</v>
      </c>
      <c r="Z105" s="128">
        <v>0.38</v>
      </c>
      <c r="AA105" s="128">
        <v>0.7</v>
      </c>
      <c r="AB105" s="128">
        <v>0.61</v>
      </c>
      <c r="AC105" s="128">
        <v>0.72</v>
      </c>
      <c r="AD105" s="129">
        <v>0.78</v>
      </c>
    </row>
    <row r="106" spans="16:30" ht="15">
      <c r="Y106" s="127">
        <v>102</v>
      </c>
      <c r="Z106" s="128">
        <v>0.38</v>
      </c>
      <c r="AA106" s="128">
        <v>0.7</v>
      </c>
      <c r="AB106" s="128">
        <v>0.61</v>
      </c>
      <c r="AC106" s="128">
        <v>0.72</v>
      </c>
      <c r="AD106" s="129">
        <v>0.78</v>
      </c>
    </row>
    <row r="107" spans="16:30" ht="15">
      <c r="Y107" s="127">
        <v>103</v>
      </c>
      <c r="Z107" s="128">
        <v>0.38</v>
      </c>
      <c r="AA107" s="128">
        <v>0.7</v>
      </c>
      <c r="AB107" s="128">
        <v>0.61</v>
      </c>
      <c r="AC107" s="128">
        <v>0.72</v>
      </c>
      <c r="AD107" s="129">
        <v>0.78</v>
      </c>
    </row>
    <row r="108" spans="16:30" ht="15">
      <c r="Y108" s="127">
        <v>104</v>
      </c>
      <c r="Z108" s="128">
        <v>0.38</v>
      </c>
      <c r="AA108" s="128">
        <v>0.7</v>
      </c>
      <c r="AB108" s="128">
        <v>0.61</v>
      </c>
      <c r="AC108" s="128">
        <v>0.72</v>
      </c>
      <c r="AD108" s="129">
        <v>0.78</v>
      </c>
    </row>
    <row r="109" spans="16:30" ht="15">
      <c r="Y109" s="127">
        <v>105</v>
      </c>
      <c r="Z109" s="128">
        <v>0.38</v>
      </c>
      <c r="AA109" s="128">
        <v>0.7</v>
      </c>
      <c r="AB109" s="128">
        <v>0.61</v>
      </c>
      <c r="AC109" s="128">
        <v>0.72</v>
      </c>
      <c r="AD109" s="129">
        <v>0.78</v>
      </c>
    </row>
    <row r="110" spans="16:30" ht="15">
      <c r="Y110" s="127">
        <v>106</v>
      </c>
      <c r="Z110" s="128">
        <v>0.38</v>
      </c>
      <c r="AA110" s="128">
        <v>0.7</v>
      </c>
      <c r="AB110" s="128">
        <v>0.61</v>
      </c>
      <c r="AC110" s="128">
        <v>0.72</v>
      </c>
      <c r="AD110" s="129">
        <v>0.78</v>
      </c>
    </row>
    <row r="111" spans="16:30" ht="15">
      <c r="Y111" s="127">
        <v>107</v>
      </c>
      <c r="Z111" s="128">
        <v>0.38</v>
      </c>
      <c r="AA111" s="128">
        <v>0.7</v>
      </c>
      <c r="AB111" s="128">
        <v>0.61</v>
      </c>
      <c r="AC111" s="128">
        <v>0.72</v>
      </c>
      <c r="AD111" s="129">
        <v>0.78</v>
      </c>
    </row>
    <row r="112" spans="16:30" ht="15">
      <c r="Y112" s="127">
        <v>108</v>
      </c>
      <c r="Z112" s="128">
        <v>0.38</v>
      </c>
      <c r="AA112" s="128">
        <v>0.7</v>
      </c>
      <c r="AB112" s="128">
        <v>0.61</v>
      </c>
      <c r="AC112" s="128">
        <v>0.72</v>
      </c>
      <c r="AD112" s="129">
        <v>0.78</v>
      </c>
    </row>
    <row r="113" spans="25:30" ht="15">
      <c r="Y113" s="127">
        <v>109</v>
      </c>
      <c r="Z113" s="128">
        <v>0.38</v>
      </c>
      <c r="AA113" s="128">
        <v>0.7</v>
      </c>
      <c r="AB113" s="128">
        <v>0.61</v>
      </c>
      <c r="AC113" s="128">
        <v>0.72</v>
      </c>
      <c r="AD113" s="129">
        <v>0.78</v>
      </c>
    </row>
    <row r="114" spans="25:30" ht="15">
      <c r="Y114" s="127">
        <v>110</v>
      </c>
      <c r="Z114" s="128">
        <v>0.38</v>
      </c>
      <c r="AA114" s="128">
        <v>0.7</v>
      </c>
      <c r="AB114" s="128">
        <v>0.61</v>
      </c>
      <c r="AC114" s="128">
        <v>0.72</v>
      </c>
      <c r="AD114" s="129">
        <v>0.78</v>
      </c>
    </row>
    <row r="115" spans="25:30" ht="15">
      <c r="Y115" s="127">
        <v>111</v>
      </c>
      <c r="Z115" s="128">
        <v>0.38</v>
      </c>
      <c r="AA115" s="128">
        <v>0.7</v>
      </c>
      <c r="AB115" s="128">
        <v>0.61</v>
      </c>
      <c r="AC115" s="128">
        <v>0.72</v>
      </c>
      <c r="AD115" s="129">
        <v>0.78</v>
      </c>
    </row>
    <row r="116" spans="25:30" ht="15">
      <c r="Y116" s="127">
        <v>112</v>
      </c>
      <c r="Z116" s="128">
        <v>0.38</v>
      </c>
      <c r="AA116" s="128">
        <v>0.7</v>
      </c>
      <c r="AB116" s="128">
        <v>0.61</v>
      </c>
      <c r="AC116" s="128">
        <v>0.72</v>
      </c>
      <c r="AD116" s="129">
        <v>0.78</v>
      </c>
    </row>
    <row r="117" spans="25:30" ht="15">
      <c r="Y117" s="127">
        <v>113</v>
      </c>
      <c r="Z117" s="128">
        <v>0.38</v>
      </c>
      <c r="AA117" s="128">
        <v>0.7</v>
      </c>
      <c r="AB117" s="128">
        <v>0.61</v>
      </c>
      <c r="AC117" s="128">
        <v>0.72</v>
      </c>
      <c r="AD117" s="129">
        <v>0.78</v>
      </c>
    </row>
    <row r="118" spans="25:30" ht="15">
      <c r="Y118" s="127">
        <v>114</v>
      </c>
      <c r="Z118" s="128">
        <v>0.38</v>
      </c>
      <c r="AA118" s="128">
        <v>0.7</v>
      </c>
      <c r="AB118" s="128">
        <v>0.61</v>
      </c>
      <c r="AC118" s="128">
        <v>0.72</v>
      </c>
      <c r="AD118" s="129">
        <v>0.78</v>
      </c>
    </row>
    <row r="119" spans="25:30" ht="15">
      <c r="Y119" s="127">
        <v>115</v>
      </c>
      <c r="Z119" s="128">
        <v>0.38</v>
      </c>
      <c r="AA119" s="128">
        <v>0.7</v>
      </c>
      <c r="AB119" s="128">
        <v>0.61</v>
      </c>
      <c r="AC119" s="128">
        <v>0.72</v>
      </c>
      <c r="AD119" s="129">
        <v>0.78</v>
      </c>
    </row>
    <row r="120" spans="25:30" ht="15">
      <c r="Y120" s="127">
        <v>116</v>
      </c>
      <c r="Z120" s="128">
        <v>0.38</v>
      </c>
      <c r="AA120" s="128">
        <v>0.7</v>
      </c>
      <c r="AB120" s="128">
        <v>0.61</v>
      </c>
      <c r="AC120" s="128">
        <v>0.72</v>
      </c>
      <c r="AD120" s="129">
        <v>0.78</v>
      </c>
    </row>
    <row r="121" spans="25:30" ht="15">
      <c r="Y121" s="127">
        <v>117</v>
      </c>
      <c r="Z121" s="128">
        <v>0.38</v>
      </c>
      <c r="AA121" s="128">
        <v>0.7</v>
      </c>
      <c r="AB121" s="128">
        <v>0.61</v>
      </c>
      <c r="AC121" s="128">
        <v>0.72</v>
      </c>
      <c r="AD121" s="129">
        <v>0.78</v>
      </c>
    </row>
    <row r="122" spans="25:30" ht="15">
      <c r="Y122" s="127">
        <v>118</v>
      </c>
      <c r="Z122" s="128">
        <v>0.38</v>
      </c>
      <c r="AA122" s="128">
        <v>0.7</v>
      </c>
      <c r="AB122" s="128">
        <v>0.61</v>
      </c>
      <c r="AC122" s="128">
        <v>0.72</v>
      </c>
      <c r="AD122" s="129">
        <v>0.78</v>
      </c>
    </row>
    <row r="123" spans="25:30" ht="15">
      <c r="Y123" s="127">
        <v>119</v>
      </c>
      <c r="Z123" s="128">
        <v>0.38</v>
      </c>
      <c r="AA123" s="128">
        <v>0.7</v>
      </c>
      <c r="AB123" s="128">
        <v>0.61</v>
      </c>
      <c r="AC123" s="128">
        <v>0.72</v>
      </c>
      <c r="AD123" s="129">
        <v>0.78</v>
      </c>
    </row>
    <row r="124" spans="25:30" ht="15">
      <c r="Y124" s="127">
        <v>120</v>
      </c>
      <c r="Z124" s="128">
        <v>0.38</v>
      </c>
      <c r="AA124" s="128">
        <v>0.7</v>
      </c>
      <c r="AB124" s="128">
        <v>0.61</v>
      </c>
      <c r="AC124" s="128">
        <v>0.72</v>
      </c>
      <c r="AD124" s="129">
        <v>0.78</v>
      </c>
    </row>
    <row r="125" spans="25:30" ht="15">
      <c r="Y125" s="127">
        <v>121</v>
      </c>
      <c r="Z125" s="128">
        <v>0.38</v>
      </c>
      <c r="AA125" s="128">
        <v>0.7</v>
      </c>
      <c r="AB125" s="128">
        <v>0.61</v>
      </c>
      <c r="AC125" s="128">
        <v>0.72</v>
      </c>
      <c r="AD125" s="129">
        <v>0.78</v>
      </c>
    </row>
    <row r="126" spans="25:30" ht="15">
      <c r="Y126" s="127">
        <v>122</v>
      </c>
      <c r="Z126" s="128">
        <v>0.38</v>
      </c>
      <c r="AA126" s="128">
        <v>0.7</v>
      </c>
      <c r="AB126" s="128">
        <v>0.61</v>
      </c>
      <c r="AC126" s="128">
        <v>0.72</v>
      </c>
      <c r="AD126" s="129">
        <v>0.78</v>
      </c>
    </row>
    <row r="127" spans="25:30" ht="15">
      <c r="Y127" s="127">
        <v>123</v>
      </c>
      <c r="Z127" s="128">
        <v>0.38</v>
      </c>
      <c r="AA127" s="128">
        <v>0.7</v>
      </c>
      <c r="AB127" s="128">
        <v>0.61</v>
      </c>
      <c r="AC127" s="128">
        <v>0.72</v>
      </c>
      <c r="AD127" s="129">
        <v>0.78</v>
      </c>
    </row>
    <row r="128" spans="25:30" ht="15">
      <c r="Y128" s="127">
        <v>124</v>
      </c>
      <c r="Z128" s="128">
        <v>0.38</v>
      </c>
      <c r="AA128" s="128">
        <v>0.7</v>
      </c>
      <c r="AB128" s="128">
        <v>0.61</v>
      </c>
      <c r="AC128" s="128">
        <v>0.72</v>
      </c>
      <c r="AD128" s="129">
        <v>0.78</v>
      </c>
    </row>
    <row r="129" spans="25:30" ht="15">
      <c r="Y129" s="127">
        <v>125</v>
      </c>
      <c r="Z129" s="128">
        <v>0.38</v>
      </c>
      <c r="AA129" s="128">
        <v>0.7</v>
      </c>
      <c r="AB129" s="128">
        <v>0.61</v>
      </c>
      <c r="AC129" s="128">
        <v>0.72</v>
      </c>
      <c r="AD129" s="129">
        <v>0.78</v>
      </c>
    </row>
    <row r="130" spans="25:30" ht="15">
      <c r="Y130" s="127">
        <v>126</v>
      </c>
      <c r="Z130" s="128">
        <v>0.38</v>
      </c>
      <c r="AA130" s="128">
        <v>0.7</v>
      </c>
      <c r="AB130" s="128">
        <v>0.61</v>
      </c>
      <c r="AC130" s="128">
        <v>0.72</v>
      </c>
      <c r="AD130" s="129">
        <v>0.78</v>
      </c>
    </row>
    <row r="131" spans="25:30" ht="15">
      <c r="Y131" s="127">
        <v>127</v>
      </c>
      <c r="Z131" s="128">
        <v>0.38</v>
      </c>
      <c r="AA131" s="128">
        <v>0.7</v>
      </c>
      <c r="AB131" s="128">
        <v>0.61</v>
      </c>
      <c r="AC131" s="128">
        <v>0.72</v>
      </c>
      <c r="AD131" s="129">
        <v>0.78</v>
      </c>
    </row>
    <row r="132" spans="25:30" ht="15">
      <c r="Y132" s="127">
        <v>128</v>
      </c>
      <c r="Z132" s="128">
        <v>0.38</v>
      </c>
      <c r="AA132" s="128">
        <v>0.7</v>
      </c>
      <c r="AB132" s="128">
        <v>0.61</v>
      </c>
      <c r="AC132" s="128">
        <v>0.72</v>
      </c>
      <c r="AD132" s="129">
        <v>0.78</v>
      </c>
    </row>
    <row r="133" spans="25:30" ht="15">
      <c r="Y133" s="127">
        <v>129</v>
      </c>
      <c r="Z133" s="128">
        <v>0.38</v>
      </c>
      <c r="AA133" s="128">
        <v>0.7</v>
      </c>
      <c r="AB133" s="128">
        <v>0.61</v>
      </c>
      <c r="AC133" s="128">
        <v>0.72</v>
      </c>
      <c r="AD133" s="129">
        <v>0.78</v>
      </c>
    </row>
    <row r="134" spans="25:30" ht="15">
      <c r="Y134" s="127">
        <v>130</v>
      </c>
      <c r="Z134" s="128">
        <v>0.38</v>
      </c>
      <c r="AA134" s="128">
        <v>0.7</v>
      </c>
      <c r="AB134" s="128">
        <v>0.61</v>
      </c>
      <c r="AC134" s="128">
        <v>0.72</v>
      </c>
      <c r="AD134" s="129">
        <v>0.78</v>
      </c>
    </row>
    <row r="135" spans="25:30" ht="15">
      <c r="Y135" s="127">
        <v>131</v>
      </c>
      <c r="Z135" s="128">
        <v>0.38</v>
      </c>
      <c r="AA135" s="128">
        <v>0.7</v>
      </c>
      <c r="AB135" s="128">
        <v>0.61</v>
      </c>
      <c r="AC135" s="128">
        <v>0.72</v>
      </c>
      <c r="AD135" s="129">
        <v>0.78</v>
      </c>
    </row>
    <row r="136" spans="25:30" ht="15">
      <c r="Y136" s="127">
        <v>132</v>
      </c>
      <c r="Z136" s="128">
        <v>0.38</v>
      </c>
      <c r="AA136" s="128">
        <v>0.7</v>
      </c>
      <c r="AB136" s="128">
        <v>0.61</v>
      </c>
      <c r="AC136" s="128">
        <v>0.72</v>
      </c>
      <c r="AD136" s="129">
        <v>0.78</v>
      </c>
    </row>
    <row r="137" spans="25:30" ht="15">
      <c r="Y137" s="127">
        <v>133</v>
      </c>
      <c r="Z137" s="128">
        <v>0.38</v>
      </c>
      <c r="AA137" s="128">
        <v>0.7</v>
      </c>
      <c r="AB137" s="128">
        <v>0.61</v>
      </c>
      <c r="AC137" s="128">
        <v>0.72</v>
      </c>
      <c r="AD137" s="129">
        <v>0.78</v>
      </c>
    </row>
    <row r="138" spans="25:30" ht="15">
      <c r="Y138" s="127">
        <v>134</v>
      </c>
      <c r="Z138" s="128">
        <v>0.38</v>
      </c>
      <c r="AA138" s="128">
        <v>0.7</v>
      </c>
      <c r="AB138" s="128">
        <v>0.61</v>
      </c>
      <c r="AC138" s="128">
        <v>0.72</v>
      </c>
      <c r="AD138" s="129">
        <v>0.78</v>
      </c>
    </row>
    <row r="139" spans="25:30" ht="15">
      <c r="Y139" s="127">
        <v>135</v>
      </c>
      <c r="Z139" s="128">
        <v>0.38</v>
      </c>
      <c r="AA139" s="128">
        <v>0.7</v>
      </c>
      <c r="AB139" s="128">
        <v>0.61</v>
      </c>
      <c r="AC139" s="128">
        <v>0.72</v>
      </c>
      <c r="AD139" s="129">
        <v>0.78</v>
      </c>
    </row>
    <row r="140" spans="25:30" ht="15">
      <c r="Y140" s="127">
        <v>136</v>
      </c>
      <c r="Z140" s="128">
        <v>0.38</v>
      </c>
      <c r="AA140" s="128">
        <v>0.7</v>
      </c>
      <c r="AB140" s="128">
        <v>0.61</v>
      </c>
      <c r="AC140" s="128">
        <v>0.72</v>
      </c>
      <c r="AD140" s="129">
        <v>0.78</v>
      </c>
    </row>
    <row r="141" spans="25:30" ht="15">
      <c r="Y141" s="127">
        <v>137</v>
      </c>
      <c r="Z141" s="128">
        <v>0.38</v>
      </c>
      <c r="AA141" s="128">
        <v>0.7</v>
      </c>
      <c r="AB141" s="128">
        <v>0.61</v>
      </c>
      <c r="AC141" s="128">
        <v>0.72</v>
      </c>
      <c r="AD141" s="129">
        <v>0.78</v>
      </c>
    </row>
    <row r="142" spans="25:30" ht="15">
      <c r="Y142" s="127">
        <v>138</v>
      </c>
      <c r="Z142" s="128">
        <v>0.38</v>
      </c>
      <c r="AA142" s="128">
        <v>0.7</v>
      </c>
      <c r="AB142" s="128">
        <v>0.61</v>
      </c>
      <c r="AC142" s="128">
        <v>0.72</v>
      </c>
      <c r="AD142" s="129">
        <v>0.78</v>
      </c>
    </row>
    <row r="143" spans="25:30" ht="15">
      <c r="Y143" s="127">
        <v>139</v>
      </c>
      <c r="Z143" s="128">
        <v>0.38</v>
      </c>
      <c r="AA143" s="128">
        <v>0.7</v>
      </c>
      <c r="AB143" s="128">
        <v>0.61</v>
      </c>
      <c r="AC143" s="128">
        <v>0.72</v>
      </c>
      <c r="AD143" s="129">
        <v>0.78</v>
      </c>
    </row>
    <row r="144" spans="25:30" ht="15">
      <c r="Y144" s="127">
        <v>140</v>
      </c>
      <c r="Z144" s="128">
        <v>0.38</v>
      </c>
      <c r="AA144" s="128">
        <v>0.7</v>
      </c>
      <c r="AB144" s="128">
        <v>0.61</v>
      </c>
      <c r="AC144" s="128">
        <v>0.72</v>
      </c>
      <c r="AD144" s="129">
        <v>0.78</v>
      </c>
    </row>
    <row r="145" spans="25:30" ht="15">
      <c r="Y145" s="127">
        <v>141</v>
      </c>
      <c r="Z145" s="128">
        <v>0.38</v>
      </c>
      <c r="AA145" s="128">
        <v>0.7</v>
      </c>
      <c r="AB145" s="128">
        <v>0.61</v>
      </c>
      <c r="AC145" s="128">
        <v>0.72</v>
      </c>
      <c r="AD145" s="129">
        <v>0.78</v>
      </c>
    </row>
    <row r="146" spans="25:30" ht="15">
      <c r="Y146" s="127">
        <v>142</v>
      </c>
      <c r="Z146" s="128">
        <v>0.38</v>
      </c>
      <c r="AA146" s="128">
        <v>0.7</v>
      </c>
      <c r="AB146" s="128">
        <v>0.61</v>
      </c>
      <c r="AC146" s="128">
        <v>0.72</v>
      </c>
      <c r="AD146" s="129">
        <v>0.78</v>
      </c>
    </row>
    <row r="147" spans="25:30" ht="15">
      <c r="Y147" s="127">
        <v>143</v>
      </c>
      <c r="Z147" s="128">
        <v>0.38</v>
      </c>
      <c r="AA147" s="128">
        <v>0.7</v>
      </c>
      <c r="AB147" s="128">
        <v>0.61</v>
      </c>
      <c r="AC147" s="128">
        <v>0.72</v>
      </c>
      <c r="AD147" s="129">
        <v>0.78</v>
      </c>
    </row>
    <row r="148" spans="25:30" ht="15">
      <c r="Y148" s="127">
        <v>144</v>
      </c>
      <c r="Z148" s="128">
        <v>0.38</v>
      </c>
      <c r="AA148" s="128">
        <v>0.7</v>
      </c>
      <c r="AB148" s="128">
        <v>0.61</v>
      </c>
      <c r="AC148" s="128">
        <v>0.72</v>
      </c>
      <c r="AD148" s="129">
        <v>0.78</v>
      </c>
    </row>
    <row r="149" spans="25:30" ht="15">
      <c r="Y149" s="127">
        <v>145</v>
      </c>
      <c r="Z149" s="128">
        <v>0.38</v>
      </c>
      <c r="AA149" s="128">
        <v>0.7</v>
      </c>
      <c r="AB149" s="128">
        <v>0.61</v>
      </c>
      <c r="AC149" s="128">
        <v>0.72</v>
      </c>
      <c r="AD149" s="129">
        <v>0.78</v>
      </c>
    </row>
    <row r="150" spans="25:30" ht="15">
      <c r="Y150" s="127">
        <v>146</v>
      </c>
      <c r="Z150" s="128">
        <v>0.38</v>
      </c>
      <c r="AA150" s="128">
        <v>0.7</v>
      </c>
      <c r="AB150" s="128">
        <v>0.61</v>
      </c>
      <c r="AC150" s="128">
        <v>0.72</v>
      </c>
      <c r="AD150" s="129">
        <v>0.78</v>
      </c>
    </row>
    <row r="151" spans="25:30" ht="15">
      <c r="Y151" s="127">
        <v>147</v>
      </c>
      <c r="Z151" s="128">
        <v>0.38</v>
      </c>
      <c r="AA151" s="128">
        <v>0.7</v>
      </c>
      <c r="AB151" s="128">
        <v>0.61</v>
      </c>
      <c r="AC151" s="128">
        <v>0.72</v>
      </c>
      <c r="AD151" s="129">
        <v>0.78</v>
      </c>
    </row>
    <row r="152" spans="25:30" ht="15">
      <c r="Y152" s="127">
        <v>148</v>
      </c>
      <c r="Z152" s="128">
        <v>0.38</v>
      </c>
      <c r="AA152" s="128">
        <v>0.7</v>
      </c>
      <c r="AB152" s="128">
        <v>0.61</v>
      </c>
      <c r="AC152" s="128">
        <v>0.72</v>
      </c>
      <c r="AD152" s="129">
        <v>0.78</v>
      </c>
    </row>
    <row r="153" spans="25:30" ht="15">
      <c r="Y153" s="127">
        <v>149</v>
      </c>
      <c r="Z153" s="128">
        <v>0.38</v>
      </c>
      <c r="AA153" s="128">
        <v>0.7</v>
      </c>
      <c r="AB153" s="128">
        <v>0.61</v>
      </c>
      <c r="AC153" s="128">
        <v>0.72</v>
      </c>
      <c r="AD153" s="129">
        <v>0.78</v>
      </c>
    </row>
    <row r="154" spans="25:30" ht="15">
      <c r="Y154" s="127">
        <v>150</v>
      </c>
      <c r="Z154" s="128">
        <v>0.38</v>
      </c>
      <c r="AA154" s="128">
        <v>0.7</v>
      </c>
      <c r="AB154" s="128">
        <v>0.61</v>
      </c>
      <c r="AC154" s="128">
        <v>0.72</v>
      </c>
      <c r="AD154" s="129">
        <v>0.78</v>
      </c>
    </row>
    <row r="155" spans="25:30" ht="15">
      <c r="Y155" s="127">
        <v>151</v>
      </c>
      <c r="Z155" s="128">
        <v>0.38</v>
      </c>
      <c r="AA155" s="128">
        <v>0.7</v>
      </c>
      <c r="AB155" s="128">
        <v>0.61</v>
      </c>
      <c r="AC155" s="128">
        <v>0.72</v>
      </c>
      <c r="AD155" s="129">
        <v>0.78</v>
      </c>
    </row>
    <row r="156" spans="25:30" ht="15">
      <c r="Y156" s="127">
        <v>152</v>
      </c>
      <c r="Z156" s="128">
        <v>0.38</v>
      </c>
      <c r="AA156" s="128">
        <v>0.7</v>
      </c>
      <c r="AB156" s="128">
        <v>0.61</v>
      </c>
      <c r="AC156" s="128">
        <v>0.72</v>
      </c>
      <c r="AD156" s="129">
        <v>0.78</v>
      </c>
    </row>
    <row r="157" spans="25:30" ht="15">
      <c r="Y157" s="127">
        <v>153</v>
      </c>
      <c r="Z157" s="128">
        <v>0.38</v>
      </c>
      <c r="AA157" s="128">
        <v>0.7</v>
      </c>
      <c r="AB157" s="128">
        <v>0.61</v>
      </c>
      <c r="AC157" s="128">
        <v>0.72</v>
      </c>
      <c r="AD157" s="129">
        <v>0.78</v>
      </c>
    </row>
    <row r="158" spans="25:30" ht="15">
      <c r="Y158" s="127">
        <v>154</v>
      </c>
      <c r="Z158" s="128">
        <v>0.38</v>
      </c>
      <c r="AA158" s="128">
        <v>0.7</v>
      </c>
      <c r="AB158" s="128">
        <v>0.61</v>
      </c>
      <c r="AC158" s="128">
        <v>0.72</v>
      </c>
      <c r="AD158" s="129">
        <v>0.78</v>
      </c>
    </row>
    <row r="159" spans="25:30" ht="15">
      <c r="Y159" s="127">
        <v>155</v>
      </c>
      <c r="Z159" s="128">
        <v>0.38</v>
      </c>
      <c r="AA159" s="128">
        <v>0.7</v>
      </c>
      <c r="AB159" s="128">
        <v>0.61</v>
      </c>
      <c r="AC159" s="128">
        <v>0.72</v>
      </c>
      <c r="AD159" s="129">
        <v>0.78</v>
      </c>
    </row>
    <row r="160" spans="25:30" ht="15">
      <c r="Y160" s="127">
        <v>156</v>
      </c>
      <c r="Z160" s="128">
        <v>0.38</v>
      </c>
      <c r="AA160" s="128">
        <v>0.7</v>
      </c>
      <c r="AB160" s="128">
        <v>0.61</v>
      </c>
      <c r="AC160" s="128">
        <v>0.72</v>
      </c>
      <c r="AD160" s="129">
        <v>0.78</v>
      </c>
    </row>
    <row r="161" spans="25:30" ht="15">
      <c r="Y161" s="127">
        <v>157</v>
      </c>
      <c r="Z161" s="128">
        <v>0.38</v>
      </c>
      <c r="AA161" s="128">
        <v>0.7</v>
      </c>
      <c r="AB161" s="128">
        <v>0.61</v>
      </c>
      <c r="AC161" s="128">
        <v>0.72</v>
      </c>
      <c r="AD161" s="129">
        <v>0.78</v>
      </c>
    </row>
    <row r="162" spans="25:30" ht="15">
      <c r="Y162" s="127">
        <v>158</v>
      </c>
      <c r="Z162" s="128">
        <v>0.38</v>
      </c>
      <c r="AA162" s="128">
        <v>0.7</v>
      </c>
      <c r="AB162" s="128">
        <v>0.61</v>
      </c>
      <c r="AC162" s="128">
        <v>0.72</v>
      </c>
      <c r="AD162" s="129">
        <v>0.78</v>
      </c>
    </row>
    <row r="163" spans="25:30" ht="15">
      <c r="Y163" s="127">
        <v>159</v>
      </c>
      <c r="Z163" s="128">
        <v>0.38</v>
      </c>
      <c r="AA163" s="128">
        <v>0.7</v>
      </c>
      <c r="AB163" s="128">
        <v>0.61</v>
      </c>
      <c r="AC163" s="128">
        <v>0.72</v>
      </c>
      <c r="AD163" s="129">
        <v>0.78</v>
      </c>
    </row>
    <row r="164" spans="25:30" ht="15">
      <c r="Y164" s="127">
        <v>160</v>
      </c>
      <c r="Z164" s="128">
        <v>0.38</v>
      </c>
      <c r="AA164" s="128">
        <v>0.7</v>
      </c>
      <c r="AB164" s="128">
        <v>0.61</v>
      </c>
      <c r="AC164" s="128">
        <v>0.72</v>
      </c>
      <c r="AD164" s="129">
        <v>0.78</v>
      </c>
    </row>
    <row r="165" spans="25:30" ht="15">
      <c r="Y165" s="127">
        <v>161</v>
      </c>
      <c r="Z165" s="128">
        <v>0.38</v>
      </c>
      <c r="AA165" s="128">
        <v>0.7</v>
      </c>
      <c r="AB165" s="128">
        <v>0.61</v>
      </c>
      <c r="AC165" s="128">
        <v>0.72</v>
      </c>
      <c r="AD165" s="129">
        <v>0.78</v>
      </c>
    </row>
    <row r="166" spans="25:30" ht="15">
      <c r="Y166" s="127">
        <v>162</v>
      </c>
      <c r="Z166" s="128">
        <v>0.38</v>
      </c>
      <c r="AA166" s="128">
        <v>0.7</v>
      </c>
      <c r="AB166" s="128">
        <v>0.61</v>
      </c>
      <c r="AC166" s="128">
        <v>0.72</v>
      </c>
      <c r="AD166" s="129">
        <v>0.78</v>
      </c>
    </row>
    <row r="167" spans="25:30" ht="15">
      <c r="Y167" s="127">
        <v>163</v>
      </c>
      <c r="Z167" s="128">
        <v>0.38</v>
      </c>
      <c r="AA167" s="128">
        <v>0.7</v>
      </c>
      <c r="AB167" s="128">
        <v>0.61</v>
      </c>
      <c r="AC167" s="128">
        <v>0.72</v>
      </c>
      <c r="AD167" s="129">
        <v>0.78</v>
      </c>
    </row>
    <row r="168" spans="25:30" ht="15">
      <c r="Y168" s="127">
        <v>164</v>
      </c>
      <c r="Z168" s="128">
        <v>0.38</v>
      </c>
      <c r="AA168" s="128">
        <v>0.7</v>
      </c>
      <c r="AB168" s="128">
        <v>0.61</v>
      </c>
      <c r="AC168" s="128">
        <v>0.72</v>
      </c>
      <c r="AD168" s="129">
        <v>0.78</v>
      </c>
    </row>
    <row r="169" spans="25:30" ht="15">
      <c r="Y169" s="127">
        <v>165</v>
      </c>
      <c r="Z169" s="128">
        <v>0.38</v>
      </c>
      <c r="AA169" s="128">
        <v>0.7</v>
      </c>
      <c r="AB169" s="128">
        <v>0.61</v>
      </c>
      <c r="AC169" s="128">
        <v>0.72</v>
      </c>
      <c r="AD169" s="129">
        <v>0.78</v>
      </c>
    </row>
    <row r="170" spans="25:30" ht="15">
      <c r="Y170" s="127">
        <v>166</v>
      </c>
      <c r="Z170" s="128">
        <v>0.38</v>
      </c>
      <c r="AA170" s="128">
        <v>0.7</v>
      </c>
      <c r="AB170" s="128">
        <v>0.61</v>
      </c>
      <c r="AC170" s="128">
        <v>0.72</v>
      </c>
      <c r="AD170" s="129">
        <v>0.78</v>
      </c>
    </row>
    <row r="171" spans="25:30" ht="15">
      <c r="Y171" s="127">
        <v>167</v>
      </c>
      <c r="Z171" s="128">
        <v>0.38</v>
      </c>
      <c r="AA171" s="128">
        <v>0.7</v>
      </c>
      <c r="AB171" s="128">
        <v>0.61</v>
      </c>
      <c r="AC171" s="128">
        <v>0.72</v>
      </c>
      <c r="AD171" s="129">
        <v>0.78</v>
      </c>
    </row>
    <row r="172" spans="25:30" ht="15">
      <c r="Y172" s="127">
        <v>168</v>
      </c>
      <c r="Z172" s="128">
        <v>0.38</v>
      </c>
      <c r="AA172" s="128">
        <v>0.7</v>
      </c>
      <c r="AB172" s="128">
        <v>0.61</v>
      </c>
      <c r="AC172" s="128">
        <v>0.72</v>
      </c>
      <c r="AD172" s="129">
        <v>0.78</v>
      </c>
    </row>
    <row r="173" spans="25:30" ht="15">
      <c r="Y173" s="127">
        <v>169</v>
      </c>
      <c r="Z173" s="128">
        <v>0.38</v>
      </c>
      <c r="AA173" s="128">
        <v>0.7</v>
      </c>
      <c r="AB173" s="128">
        <v>0.61</v>
      </c>
      <c r="AC173" s="128">
        <v>0.72</v>
      </c>
      <c r="AD173" s="129">
        <v>0.78</v>
      </c>
    </row>
    <row r="174" spans="25:30" ht="15">
      <c r="Y174" s="127">
        <v>170</v>
      </c>
      <c r="Z174" s="128">
        <v>0.38</v>
      </c>
      <c r="AA174" s="128">
        <v>0.7</v>
      </c>
      <c r="AB174" s="128">
        <v>0.61</v>
      </c>
      <c r="AC174" s="128">
        <v>0.72</v>
      </c>
      <c r="AD174" s="129">
        <v>0.78</v>
      </c>
    </row>
    <row r="175" spans="25:30" ht="15">
      <c r="Y175" s="127">
        <v>171</v>
      </c>
      <c r="Z175" s="128">
        <v>0.38</v>
      </c>
      <c r="AA175" s="128">
        <v>0.7</v>
      </c>
      <c r="AB175" s="128">
        <v>0.61</v>
      </c>
      <c r="AC175" s="128">
        <v>0.72</v>
      </c>
      <c r="AD175" s="129">
        <v>0.78</v>
      </c>
    </row>
    <row r="176" spans="25:30" ht="15">
      <c r="Y176" s="127">
        <v>172</v>
      </c>
      <c r="Z176" s="128">
        <v>0.38</v>
      </c>
      <c r="AA176" s="128">
        <v>0.7</v>
      </c>
      <c r="AB176" s="128">
        <v>0.61</v>
      </c>
      <c r="AC176" s="128">
        <v>0.72</v>
      </c>
      <c r="AD176" s="129">
        <v>0.78</v>
      </c>
    </row>
    <row r="177" spans="25:30" ht="15">
      <c r="Y177" s="127">
        <v>173</v>
      </c>
      <c r="Z177" s="128">
        <v>0.38</v>
      </c>
      <c r="AA177" s="128">
        <v>0.7</v>
      </c>
      <c r="AB177" s="128">
        <v>0.61</v>
      </c>
      <c r="AC177" s="128">
        <v>0.72</v>
      </c>
      <c r="AD177" s="129">
        <v>0.78</v>
      </c>
    </row>
    <row r="178" spans="25:30" ht="15">
      <c r="Y178" s="127">
        <v>174</v>
      </c>
      <c r="Z178" s="128">
        <v>0.38</v>
      </c>
      <c r="AA178" s="128">
        <v>0.7</v>
      </c>
      <c r="AB178" s="128">
        <v>0.61</v>
      </c>
      <c r="AC178" s="128">
        <v>0.72</v>
      </c>
      <c r="AD178" s="129">
        <v>0.78</v>
      </c>
    </row>
    <row r="179" spans="25:30" ht="15">
      <c r="Y179" s="127">
        <v>175</v>
      </c>
      <c r="Z179" s="128">
        <v>0.38</v>
      </c>
      <c r="AA179" s="128">
        <v>0.7</v>
      </c>
      <c r="AB179" s="128">
        <v>0.61</v>
      </c>
      <c r="AC179" s="128">
        <v>0.72</v>
      </c>
      <c r="AD179" s="129">
        <v>0.78</v>
      </c>
    </row>
    <row r="180" spans="25:30" ht="15">
      <c r="Y180" s="127">
        <v>176</v>
      </c>
      <c r="Z180" s="128">
        <v>0.38</v>
      </c>
      <c r="AA180" s="128">
        <v>0.7</v>
      </c>
      <c r="AB180" s="128">
        <v>0.61</v>
      </c>
      <c r="AC180" s="128">
        <v>0.72</v>
      </c>
      <c r="AD180" s="129">
        <v>0.78</v>
      </c>
    </row>
    <row r="181" spans="25:30" ht="15">
      <c r="Y181" s="127">
        <v>177</v>
      </c>
      <c r="Z181" s="128">
        <v>0.38</v>
      </c>
      <c r="AA181" s="128">
        <v>0.7</v>
      </c>
      <c r="AB181" s="128">
        <v>0.61</v>
      </c>
      <c r="AC181" s="128">
        <v>0.72</v>
      </c>
      <c r="AD181" s="129">
        <v>0.78</v>
      </c>
    </row>
    <row r="182" spans="25:30" ht="15">
      <c r="Y182" s="127">
        <v>178</v>
      </c>
      <c r="Z182" s="128">
        <v>0.38</v>
      </c>
      <c r="AA182" s="128">
        <v>0.7</v>
      </c>
      <c r="AB182" s="128">
        <v>0.61</v>
      </c>
      <c r="AC182" s="128">
        <v>0.72</v>
      </c>
      <c r="AD182" s="129">
        <v>0.78</v>
      </c>
    </row>
    <row r="183" spans="25:30" ht="15">
      <c r="Y183" s="127">
        <v>179</v>
      </c>
      <c r="Z183" s="128">
        <v>0.38</v>
      </c>
      <c r="AA183" s="128">
        <v>0.7</v>
      </c>
      <c r="AB183" s="128">
        <v>0.61</v>
      </c>
      <c r="AC183" s="128">
        <v>0.72</v>
      </c>
      <c r="AD183" s="129">
        <v>0.78</v>
      </c>
    </row>
    <row r="184" spans="25:30" ht="15">
      <c r="Y184" s="127">
        <v>180</v>
      </c>
      <c r="Z184" s="128">
        <v>0.38</v>
      </c>
      <c r="AA184" s="128">
        <v>0.7</v>
      </c>
      <c r="AB184" s="128">
        <v>0.61</v>
      </c>
      <c r="AC184" s="128">
        <v>0.72</v>
      </c>
      <c r="AD184" s="129">
        <v>0.78</v>
      </c>
    </row>
    <row r="185" spans="25:30" ht="15">
      <c r="Y185" s="127">
        <v>181</v>
      </c>
      <c r="Z185" s="128">
        <v>0.38</v>
      </c>
      <c r="AA185" s="128">
        <v>0.7</v>
      </c>
      <c r="AB185" s="128">
        <v>0.61</v>
      </c>
      <c r="AC185" s="128">
        <v>0.72</v>
      </c>
      <c r="AD185" s="129">
        <v>0.78</v>
      </c>
    </row>
    <row r="186" spans="25:30" ht="15">
      <c r="Y186" s="127">
        <v>182</v>
      </c>
      <c r="Z186" s="128">
        <v>0.38</v>
      </c>
      <c r="AA186" s="128">
        <v>0.7</v>
      </c>
      <c r="AB186" s="128">
        <v>0.61</v>
      </c>
      <c r="AC186" s="128">
        <v>0.72</v>
      </c>
      <c r="AD186" s="129">
        <v>0.78</v>
      </c>
    </row>
    <row r="187" spans="25:30" ht="15">
      <c r="Y187" s="127">
        <v>183</v>
      </c>
      <c r="Z187" s="128">
        <v>0.38</v>
      </c>
      <c r="AA187" s="128">
        <v>0.7</v>
      </c>
      <c r="AB187" s="128">
        <v>0.61</v>
      </c>
      <c r="AC187" s="128">
        <v>0.72</v>
      </c>
      <c r="AD187" s="129">
        <v>0.78</v>
      </c>
    </row>
    <row r="188" spans="25:30" ht="15">
      <c r="Y188" s="127">
        <v>184</v>
      </c>
      <c r="Z188" s="128">
        <v>0.38</v>
      </c>
      <c r="AA188" s="128">
        <v>0.7</v>
      </c>
      <c r="AB188" s="128">
        <v>0.61</v>
      </c>
      <c r="AC188" s="128">
        <v>0.72</v>
      </c>
      <c r="AD188" s="129">
        <v>0.78</v>
      </c>
    </row>
    <row r="189" spans="25:30" ht="15">
      <c r="Y189" s="127">
        <v>185</v>
      </c>
      <c r="Z189" s="128">
        <v>0.38</v>
      </c>
      <c r="AA189" s="128">
        <v>0.7</v>
      </c>
      <c r="AB189" s="128">
        <v>0.61</v>
      </c>
      <c r="AC189" s="128">
        <v>0.72</v>
      </c>
      <c r="AD189" s="129">
        <v>0.78</v>
      </c>
    </row>
    <row r="190" spans="25:30" ht="15">
      <c r="Y190" s="127">
        <v>186</v>
      </c>
      <c r="Z190" s="128">
        <v>0.38</v>
      </c>
      <c r="AA190" s="128">
        <v>0.7</v>
      </c>
      <c r="AB190" s="128">
        <v>0.61</v>
      </c>
      <c r="AC190" s="128">
        <v>0.72</v>
      </c>
      <c r="AD190" s="129">
        <v>0.78</v>
      </c>
    </row>
    <row r="191" spans="25:30" ht="15">
      <c r="Y191" s="127">
        <v>187</v>
      </c>
      <c r="Z191" s="128">
        <v>0.38</v>
      </c>
      <c r="AA191" s="128">
        <v>0.7</v>
      </c>
      <c r="AB191" s="128">
        <v>0.61</v>
      </c>
      <c r="AC191" s="128">
        <v>0.72</v>
      </c>
      <c r="AD191" s="129">
        <v>0.78</v>
      </c>
    </row>
    <row r="192" spans="25:30" ht="15">
      <c r="Y192" s="127">
        <v>188</v>
      </c>
      <c r="Z192" s="128">
        <v>0.38</v>
      </c>
      <c r="AA192" s="128">
        <v>0.7</v>
      </c>
      <c r="AB192" s="128">
        <v>0.61</v>
      </c>
      <c r="AC192" s="128">
        <v>0.72</v>
      </c>
      <c r="AD192" s="129">
        <v>0.78</v>
      </c>
    </row>
    <row r="193" spans="25:30" ht="15">
      <c r="Y193" s="127">
        <v>189</v>
      </c>
      <c r="Z193" s="128">
        <v>0.38</v>
      </c>
      <c r="AA193" s="128">
        <v>0.7</v>
      </c>
      <c r="AB193" s="128">
        <v>0.61</v>
      </c>
      <c r="AC193" s="128">
        <v>0.72</v>
      </c>
      <c r="AD193" s="129">
        <v>0.78</v>
      </c>
    </row>
    <row r="194" spans="25:30" ht="15">
      <c r="Y194" s="127">
        <v>190</v>
      </c>
      <c r="Z194" s="128">
        <v>0.38</v>
      </c>
      <c r="AA194" s="128">
        <v>0.7</v>
      </c>
      <c r="AB194" s="128">
        <v>0.61</v>
      </c>
      <c r="AC194" s="128">
        <v>0.72</v>
      </c>
      <c r="AD194" s="129">
        <v>0.78</v>
      </c>
    </row>
    <row r="195" spans="25:30" ht="15">
      <c r="Y195" s="127">
        <v>191</v>
      </c>
      <c r="Z195" s="128">
        <v>0.38</v>
      </c>
      <c r="AA195" s="128">
        <v>0.7</v>
      </c>
      <c r="AB195" s="128">
        <v>0.61</v>
      </c>
      <c r="AC195" s="128">
        <v>0.72</v>
      </c>
      <c r="AD195" s="129">
        <v>0.78</v>
      </c>
    </row>
    <row r="196" spans="25:30" ht="15">
      <c r="Y196" s="127">
        <v>192</v>
      </c>
      <c r="Z196" s="128">
        <v>0.38</v>
      </c>
      <c r="AA196" s="128">
        <v>0.7</v>
      </c>
      <c r="AB196" s="128">
        <v>0.61</v>
      </c>
      <c r="AC196" s="128">
        <v>0.72</v>
      </c>
      <c r="AD196" s="129">
        <v>0.78</v>
      </c>
    </row>
    <row r="197" spans="25:30" ht="15">
      <c r="Y197" s="127">
        <v>193</v>
      </c>
      <c r="Z197" s="128">
        <v>0.38</v>
      </c>
      <c r="AA197" s="128">
        <v>0.7</v>
      </c>
      <c r="AB197" s="128">
        <v>0.61</v>
      </c>
      <c r="AC197" s="128">
        <v>0.72</v>
      </c>
      <c r="AD197" s="129">
        <v>0.78</v>
      </c>
    </row>
    <row r="198" spans="25:30" ht="15">
      <c r="Y198" s="127">
        <v>194</v>
      </c>
      <c r="Z198" s="128">
        <v>0.38</v>
      </c>
      <c r="AA198" s="128">
        <v>0.7</v>
      </c>
      <c r="AB198" s="128">
        <v>0.61</v>
      </c>
      <c r="AC198" s="128">
        <v>0.72</v>
      </c>
      <c r="AD198" s="129">
        <v>0.78</v>
      </c>
    </row>
    <row r="199" spans="25:30" ht="15">
      <c r="Y199" s="127">
        <v>195</v>
      </c>
      <c r="Z199" s="128">
        <v>0.38</v>
      </c>
      <c r="AA199" s="128">
        <v>0.7</v>
      </c>
      <c r="AB199" s="128">
        <v>0.61</v>
      </c>
      <c r="AC199" s="128">
        <v>0.72</v>
      </c>
      <c r="AD199" s="129">
        <v>0.78</v>
      </c>
    </row>
    <row r="200" spans="25:30" ht="15">
      <c r="Y200" s="127">
        <v>196</v>
      </c>
      <c r="Z200" s="128">
        <v>0.38</v>
      </c>
      <c r="AA200" s="128">
        <v>0.7</v>
      </c>
      <c r="AB200" s="128">
        <v>0.61</v>
      </c>
      <c r="AC200" s="128">
        <v>0.72</v>
      </c>
      <c r="AD200" s="129">
        <v>0.78</v>
      </c>
    </row>
    <row r="201" spans="25:30" ht="15">
      <c r="Y201" s="127">
        <v>197</v>
      </c>
      <c r="Z201" s="128">
        <v>0.38</v>
      </c>
      <c r="AA201" s="128">
        <v>0.7</v>
      </c>
      <c r="AB201" s="128">
        <v>0.61</v>
      </c>
      <c r="AC201" s="128">
        <v>0.72</v>
      </c>
      <c r="AD201" s="129">
        <v>0.78</v>
      </c>
    </row>
    <row r="202" spans="25:30" ht="15">
      <c r="Y202" s="127">
        <v>198</v>
      </c>
      <c r="Z202" s="128">
        <v>0.38</v>
      </c>
      <c r="AA202" s="128">
        <v>0.7</v>
      </c>
      <c r="AB202" s="128">
        <v>0.61</v>
      </c>
      <c r="AC202" s="128">
        <v>0.72</v>
      </c>
      <c r="AD202" s="129">
        <v>0.78</v>
      </c>
    </row>
    <row r="203" spans="25:30" ht="15">
      <c r="Y203" s="127">
        <v>199</v>
      </c>
      <c r="Z203" s="128">
        <v>0.38</v>
      </c>
      <c r="AA203" s="128">
        <v>0.7</v>
      </c>
      <c r="AB203" s="128">
        <v>0.61</v>
      </c>
      <c r="AC203" s="128">
        <v>0.72</v>
      </c>
      <c r="AD203" s="129">
        <v>0.78</v>
      </c>
    </row>
    <row r="204" spans="25:30" ht="15">
      <c r="Y204" s="127">
        <v>200</v>
      </c>
      <c r="Z204" s="128">
        <v>0.38</v>
      </c>
      <c r="AA204" s="128">
        <v>0.7</v>
      </c>
      <c r="AB204" s="128">
        <v>0.61</v>
      </c>
      <c r="AC204" s="128">
        <v>0.72</v>
      </c>
      <c r="AD204" s="129">
        <v>0.78</v>
      </c>
    </row>
    <row r="205" spans="25:30" ht="15">
      <c r="Y205" s="127">
        <v>201</v>
      </c>
      <c r="Z205" s="128">
        <v>0.38</v>
      </c>
      <c r="AA205" s="128">
        <v>0.7</v>
      </c>
      <c r="AB205" s="128">
        <v>0.61</v>
      </c>
      <c r="AC205" s="128">
        <v>0.72</v>
      </c>
      <c r="AD205" s="129">
        <v>0.78</v>
      </c>
    </row>
    <row r="206" spans="25:30" ht="15">
      <c r="Y206" s="127">
        <v>202</v>
      </c>
      <c r="Z206" s="128">
        <v>0.38</v>
      </c>
      <c r="AA206" s="128">
        <v>0.7</v>
      </c>
      <c r="AB206" s="128">
        <v>0.61</v>
      </c>
      <c r="AC206" s="128">
        <v>0.72</v>
      </c>
      <c r="AD206" s="129">
        <v>0.78</v>
      </c>
    </row>
    <row r="207" spans="25:30" ht="15">
      <c r="Y207" s="127">
        <v>203</v>
      </c>
      <c r="Z207" s="128">
        <v>0.38</v>
      </c>
      <c r="AA207" s="128">
        <v>0.7</v>
      </c>
      <c r="AB207" s="128">
        <v>0.61</v>
      </c>
      <c r="AC207" s="128">
        <v>0.72</v>
      </c>
      <c r="AD207" s="129">
        <v>0.78</v>
      </c>
    </row>
    <row r="208" spans="25:30" ht="15">
      <c r="Y208" s="127">
        <v>204</v>
      </c>
      <c r="Z208" s="128">
        <v>0.38</v>
      </c>
      <c r="AA208" s="128">
        <v>0.7</v>
      </c>
      <c r="AB208" s="128">
        <v>0.61</v>
      </c>
      <c r="AC208" s="128">
        <v>0.72</v>
      </c>
      <c r="AD208" s="129">
        <v>0.78</v>
      </c>
    </row>
    <row r="209" spans="25:30" ht="15">
      <c r="Y209" s="127">
        <v>205</v>
      </c>
      <c r="Z209" s="128">
        <v>0.38</v>
      </c>
      <c r="AA209" s="128">
        <v>0.7</v>
      </c>
      <c r="AB209" s="128">
        <v>0.61</v>
      </c>
      <c r="AC209" s="128">
        <v>0.72</v>
      </c>
      <c r="AD209" s="129">
        <v>0.78</v>
      </c>
    </row>
    <row r="210" spans="25:30" ht="15">
      <c r="Y210" s="127">
        <v>206</v>
      </c>
      <c r="Z210" s="128">
        <v>0.38</v>
      </c>
      <c r="AA210" s="128">
        <v>0.7</v>
      </c>
      <c r="AB210" s="128">
        <v>0.61</v>
      </c>
      <c r="AC210" s="128">
        <v>0.72</v>
      </c>
      <c r="AD210" s="129">
        <v>0.78</v>
      </c>
    </row>
    <row r="211" spans="25:30" ht="15">
      <c r="Y211" s="127">
        <v>207</v>
      </c>
      <c r="Z211" s="128">
        <v>0.38</v>
      </c>
      <c r="AA211" s="128">
        <v>0.7</v>
      </c>
      <c r="AB211" s="128">
        <v>0.61</v>
      </c>
      <c r="AC211" s="128">
        <v>0.72</v>
      </c>
      <c r="AD211" s="129">
        <v>0.78</v>
      </c>
    </row>
    <row r="212" spans="25:30" ht="15">
      <c r="Y212" s="127">
        <v>208</v>
      </c>
      <c r="Z212" s="128">
        <v>0.38</v>
      </c>
      <c r="AA212" s="128">
        <v>0.7</v>
      </c>
      <c r="AB212" s="128">
        <v>0.61</v>
      </c>
      <c r="AC212" s="128">
        <v>0.72</v>
      </c>
      <c r="AD212" s="129">
        <v>0.78</v>
      </c>
    </row>
    <row r="213" spans="25:30" ht="15">
      <c r="Y213" s="127">
        <v>209</v>
      </c>
      <c r="Z213" s="128">
        <v>0.38</v>
      </c>
      <c r="AA213" s="128">
        <v>0.7</v>
      </c>
      <c r="AB213" s="128">
        <v>0.61</v>
      </c>
      <c r="AC213" s="128">
        <v>0.72</v>
      </c>
      <c r="AD213" s="129">
        <v>0.78</v>
      </c>
    </row>
    <row r="214" spans="25:30" ht="15">
      <c r="Y214" s="127">
        <v>210</v>
      </c>
      <c r="Z214" s="128">
        <v>0.38</v>
      </c>
      <c r="AA214" s="128">
        <v>0.7</v>
      </c>
      <c r="AB214" s="128">
        <v>0.61</v>
      </c>
      <c r="AC214" s="128">
        <v>0.72</v>
      </c>
      <c r="AD214" s="129">
        <v>0.78</v>
      </c>
    </row>
    <row r="215" spans="25:30" ht="15">
      <c r="Y215" s="127">
        <v>211</v>
      </c>
      <c r="Z215" s="128">
        <v>0.38</v>
      </c>
      <c r="AA215" s="128">
        <v>0.7</v>
      </c>
      <c r="AB215" s="128">
        <v>0.61</v>
      </c>
      <c r="AC215" s="128">
        <v>0.72</v>
      </c>
      <c r="AD215" s="129">
        <v>0.78</v>
      </c>
    </row>
    <row r="216" spans="25:30" ht="15">
      <c r="Y216" s="127">
        <v>212</v>
      </c>
      <c r="Z216" s="128">
        <v>0.38</v>
      </c>
      <c r="AA216" s="128">
        <v>0.7</v>
      </c>
      <c r="AB216" s="128">
        <v>0.61</v>
      </c>
      <c r="AC216" s="128">
        <v>0.72</v>
      </c>
      <c r="AD216" s="129">
        <v>0.78</v>
      </c>
    </row>
    <row r="217" spans="25:30" ht="15">
      <c r="Y217" s="127">
        <v>213</v>
      </c>
      <c r="Z217" s="128">
        <v>0.38</v>
      </c>
      <c r="AA217" s="128">
        <v>0.7</v>
      </c>
      <c r="AB217" s="128">
        <v>0.61</v>
      </c>
      <c r="AC217" s="128">
        <v>0.72</v>
      </c>
      <c r="AD217" s="129">
        <v>0.78</v>
      </c>
    </row>
    <row r="218" spans="25:30" ht="15">
      <c r="Y218" s="127">
        <v>214</v>
      </c>
      <c r="Z218" s="128">
        <v>0.38</v>
      </c>
      <c r="AA218" s="128">
        <v>0.7</v>
      </c>
      <c r="AB218" s="128">
        <v>0.61</v>
      </c>
      <c r="AC218" s="128">
        <v>0.72</v>
      </c>
      <c r="AD218" s="129">
        <v>0.78</v>
      </c>
    </row>
    <row r="219" spans="25:30" ht="15">
      <c r="Y219" s="127">
        <v>215</v>
      </c>
      <c r="Z219" s="128">
        <v>0.38</v>
      </c>
      <c r="AA219" s="128">
        <v>0.7</v>
      </c>
      <c r="AB219" s="128">
        <v>0.61</v>
      </c>
      <c r="AC219" s="128">
        <v>0.72</v>
      </c>
      <c r="AD219" s="129">
        <v>0.78</v>
      </c>
    </row>
    <row r="220" spans="25:30" ht="15">
      <c r="Y220" s="127">
        <v>216</v>
      </c>
      <c r="Z220" s="128">
        <v>0.38</v>
      </c>
      <c r="AA220" s="128">
        <v>0.7</v>
      </c>
      <c r="AB220" s="128">
        <v>0.61</v>
      </c>
      <c r="AC220" s="128">
        <v>0.72</v>
      </c>
      <c r="AD220" s="129">
        <v>0.78</v>
      </c>
    </row>
    <row r="221" spans="25:30" ht="15">
      <c r="Y221" s="127">
        <v>217</v>
      </c>
      <c r="Z221" s="128">
        <v>0.38</v>
      </c>
      <c r="AA221" s="128">
        <v>0.7</v>
      </c>
      <c r="AB221" s="128">
        <v>0.61</v>
      </c>
      <c r="AC221" s="128">
        <v>0.72</v>
      </c>
      <c r="AD221" s="129">
        <v>0.78</v>
      </c>
    </row>
    <row r="222" spans="25:30" ht="15">
      <c r="Y222" s="127">
        <v>218</v>
      </c>
      <c r="Z222" s="128">
        <v>0.38</v>
      </c>
      <c r="AA222" s="128">
        <v>0.7</v>
      </c>
      <c r="AB222" s="128">
        <v>0.61</v>
      </c>
      <c r="AC222" s="128">
        <v>0.72</v>
      </c>
      <c r="AD222" s="129">
        <v>0.78</v>
      </c>
    </row>
    <row r="223" spans="25:30" ht="15">
      <c r="Y223" s="127">
        <v>219</v>
      </c>
      <c r="Z223" s="128">
        <v>0.38</v>
      </c>
      <c r="AA223" s="128">
        <v>0.7</v>
      </c>
      <c r="AB223" s="128">
        <v>0.61</v>
      </c>
      <c r="AC223" s="128">
        <v>0.72</v>
      </c>
      <c r="AD223" s="129">
        <v>0.78</v>
      </c>
    </row>
    <row r="224" spans="25:30" ht="15">
      <c r="Y224" s="127">
        <v>220</v>
      </c>
      <c r="Z224" s="128">
        <v>0.38</v>
      </c>
      <c r="AA224" s="128">
        <v>0.7</v>
      </c>
      <c r="AB224" s="128">
        <v>0.61</v>
      </c>
      <c r="AC224" s="128">
        <v>0.72</v>
      </c>
      <c r="AD224" s="129">
        <v>0.78</v>
      </c>
    </row>
    <row r="225" spans="25:30" ht="15">
      <c r="Y225" s="127">
        <v>221</v>
      </c>
      <c r="Z225" s="128">
        <v>0.38</v>
      </c>
      <c r="AA225" s="128">
        <v>0.7</v>
      </c>
      <c r="AB225" s="128">
        <v>0.61</v>
      </c>
      <c r="AC225" s="128">
        <v>0.72</v>
      </c>
      <c r="AD225" s="129">
        <v>0.78</v>
      </c>
    </row>
    <row r="226" spans="25:30" ht="15">
      <c r="Y226" s="127">
        <v>222</v>
      </c>
      <c r="Z226" s="128">
        <v>0.38</v>
      </c>
      <c r="AA226" s="128">
        <v>0.7</v>
      </c>
      <c r="AB226" s="128">
        <v>0.61</v>
      </c>
      <c r="AC226" s="128">
        <v>0.72</v>
      </c>
      <c r="AD226" s="129">
        <v>0.78</v>
      </c>
    </row>
    <row r="227" spans="25:30" ht="15">
      <c r="Y227" s="127">
        <v>223</v>
      </c>
      <c r="Z227" s="128">
        <v>0.38</v>
      </c>
      <c r="AA227" s="128">
        <v>0.7</v>
      </c>
      <c r="AB227" s="128">
        <v>0.61</v>
      </c>
      <c r="AC227" s="128">
        <v>0.72</v>
      </c>
      <c r="AD227" s="129">
        <v>0.78</v>
      </c>
    </row>
    <row r="228" spans="25:30" ht="15">
      <c r="Y228" s="127">
        <v>224</v>
      </c>
      <c r="Z228" s="128">
        <v>0.38</v>
      </c>
      <c r="AA228" s="128">
        <v>0.7</v>
      </c>
      <c r="AB228" s="128">
        <v>0.61</v>
      </c>
      <c r="AC228" s="128">
        <v>0.72</v>
      </c>
      <c r="AD228" s="129">
        <v>0.78</v>
      </c>
    </row>
    <row r="229" spans="25:30" ht="15">
      <c r="Y229" s="127">
        <v>225</v>
      </c>
      <c r="Z229" s="128">
        <v>0.38</v>
      </c>
      <c r="AA229" s="128">
        <v>0.7</v>
      </c>
      <c r="AB229" s="128">
        <v>0.61</v>
      </c>
      <c r="AC229" s="128">
        <v>0.72</v>
      </c>
      <c r="AD229" s="129">
        <v>0.78</v>
      </c>
    </row>
    <row r="230" spans="25:30" ht="15">
      <c r="Y230" s="127">
        <v>226</v>
      </c>
      <c r="Z230" s="128">
        <v>0.38</v>
      </c>
      <c r="AA230" s="128">
        <v>0.7</v>
      </c>
      <c r="AB230" s="128">
        <v>0.61</v>
      </c>
      <c r="AC230" s="128">
        <v>0.72</v>
      </c>
      <c r="AD230" s="129">
        <v>0.78</v>
      </c>
    </row>
    <row r="231" spans="25:30" ht="15">
      <c r="Y231" s="127">
        <v>227</v>
      </c>
      <c r="Z231" s="128">
        <v>0.38</v>
      </c>
      <c r="AA231" s="128">
        <v>0.7</v>
      </c>
      <c r="AB231" s="128">
        <v>0.61</v>
      </c>
      <c r="AC231" s="128">
        <v>0.72</v>
      </c>
      <c r="AD231" s="129">
        <v>0.78</v>
      </c>
    </row>
    <row r="232" spans="25:30" ht="15">
      <c r="Y232" s="127">
        <v>228</v>
      </c>
      <c r="Z232" s="128">
        <v>0.38</v>
      </c>
      <c r="AA232" s="128">
        <v>0.7</v>
      </c>
      <c r="AB232" s="128">
        <v>0.61</v>
      </c>
      <c r="AC232" s="128">
        <v>0.72</v>
      </c>
      <c r="AD232" s="129">
        <v>0.78</v>
      </c>
    </row>
    <row r="233" spans="25:30" ht="15">
      <c r="Y233" s="127">
        <v>229</v>
      </c>
      <c r="Z233" s="128">
        <v>0.38</v>
      </c>
      <c r="AA233" s="128">
        <v>0.7</v>
      </c>
      <c r="AB233" s="128">
        <v>0.61</v>
      </c>
      <c r="AC233" s="128">
        <v>0.72</v>
      </c>
      <c r="AD233" s="129">
        <v>0.78</v>
      </c>
    </row>
    <row r="234" spans="25:30" ht="15">
      <c r="Y234" s="127">
        <v>230</v>
      </c>
      <c r="Z234" s="128">
        <v>0.38</v>
      </c>
      <c r="AA234" s="128">
        <v>0.7</v>
      </c>
      <c r="AB234" s="128">
        <v>0.61</v>
      </c>
      <c r="AC234" s="128">
        <v>0.72</v>
      </c>
      <c r="AD234" s="129">
        <v>0.78</v>
      </c>
    </row>
    <row r="235" spans="25:30" ht="15">
      <c r="Y235" s="127">
        <v>231</v>
      </c>
      <c r="Z235" s="128">
        <v>0.38</v>
      </c>
      <c r="AA235" s="128">
        <v>0.7</v>
      </c>
      <c r="AB235" s="128">
        <v>0.61</v>
      </c>
      <c r="AC235" s="128">
        <v>0.72</v>
      </c>
      <c r="AD235" s="129">
        <v>0.78</v>
      </c>
    </row>
    <row r="236" spans="25:30" ht="15">
      <c r="Y236" s="127">
        <v>232</v>
      </c>
      <c r="Z236" s="128">
        <v>0.38</v>
      </c>
      <c r="AA236" s="128">
        <v>0.7</v>
      </c>
      <c r="AB236" s="128">
        <v>0.61</v>
      </c>
      <c r="AC236" s="128">
        <v>0.72</v>
      </c>
      <c r="AD236" s="129">
        <v>0.78</v>
      </c>
    </row>
    <row r="237" spans="25:30" ht="15">
      <c r="Y237" s="127">
        <v>233</v>
      </c>
      <c r="Z237" s="128">
        <v>0.38</v>
      </c>
      <c r="AA237" s="128">
        <v>0.7</v>
      </c>
      <c r="AB237" s="128">
        <v>0.61</v>
      </c>
      <c r="AC237" s="128">
        <v>0.72</v>
      </c>
      <c r="AD237" s="129">
        <v>0.78</v>
      </c>
    </row>
    <row r="238" spans="25:30" ht="15">
      <c r="Y238" s="127">
        <v>234</v>
      </c>
      <c r="Z238" s="128">
        <v>0.38</v>
      </c>
      <c r="AA238" s="128">
        <v>0.7</v>
      </c>
      <c r="AB238" s="128">
        <v>0.61</v>
      </c>
      <c r="AC238" s="128">
        <v>0.72</v>
      </c>
      <c r="AD238" s="129">
        <v>0.78</v>
      </c>
    </row>
    <row r="239" spans="25:30" ht="15">
      <c r="Y239" s="127">
        <v>235</v>
      </c>
      <c r="Z239" s="128">
        <v>0.38</v>
      </c>
      <c r="AA239" s="128">
        <v>0.7</v>
      </c>
      <c r="AB239" s="128">
        <v>0.61</v>
      </c>
      <c r="AC239" s="128">
        <v>0.72</v>
      </c>
      <c r="AD239" s="129">
        <v>0.78</v>
      </c>
    </row>
    <row r="240" spans="25:30" ht="15">
      <c r="Y240" s="127">
        <v>236</v>
      </c>
      <c r="Z240" s="128">
        <v>0.38</v>
      </c>
      <c r="AA240" s="128">
        <v>0.7</v>
      </c>
      <c r="AB240" s="128">
        <v>0.61</v>
      </c>
      <c r="AC240" s="128">
        <v>0.72</v>
      </c>
      <c r="AD240" s="129">
        <v>0.78</v>
      </c>
    </row>
    <row r="241" spans="25:30" ht="15">
      <c r="Y241" s="127">
        <v>237</v>
      </c>
      <c r="Z241" s="128">
        <v>0.38</v>
      </c>
      <c r="AA241" s="128">
        <v>0.7</v>
      </c>
      <c r="AB241" s="128">
        <v>0.61</v>
      </c>
      <c r="AC241" s="128">
        <v>0.72</v>
      </c>
      <c r="AD241" s="129">
        <v>0.78</v>
      </c>
    </row>
    <row r="242" spans="25:30" ht="15">
      <c r="Y242" s="127">
        <v>238</v>
      </c>
      <c r="Z242" s="128">
        <v>0.38</v>
      </c>
      <c r="AA242" s="128">
        <v>0.7</v>
      </c>
      <c r="AB242" s="128">
        <v>0.61</v>
      </c>
      <c r="AC242" s="128">
        <v>0.72</v>
      </c>
      <c r="AD242" s="129">
        <v>0.78</v>
      </c>
    </row>
    <row r="243" spans="25:30" ht="15">
      <c r="Y243" s="127">
        <v>239</v>
      </c>
      <c r="Z243" s="128">
        <v>0.38</v>
      </c>
      <c r="AA243" s="128">
        <v>0.7</v>
      </c>
      <c r="AB243" s="128">
        <v>0.61</v>
      </c>
      <c r="AC243" s="128">
        <v>0.72</v>
      </c>
      <c r="AD243" s="129">
        <v>0.78</v>
      </c>
    </row>
    <row r="244" spans="25:30" ht="15">
      <c r="Y244" s="127">
        <v>240</v>
      </c>
      <c r="Z244" s="128">
        <v>0.38</v>
      </c>
      <c r="AA244" s="128">
        <v>0.7</v>
      </c>
      <c r="AB244" s="128">
        <v>0.61</v>
      </c>
      <c r="AC244" s="128">
        <v>0.72</v>
      </c>
      <c r="AD244" s="129">
        <v>0.78</v>
      </c>
    </row>
    <row r="245" spans="25:30" ht="15">
      <c r="Y245" s="127">
        <v>241</v>
      </c>
      <c r="Z245" s="128">
        <v>0.38</v>
      </c>
      <c r="AA245" s="128">
        <v>0.7</v>
      </c>
      <c r="AB245" s="128">
        <v>0.61</v>
      </c>
      <c r="AC245" s="128">
        <v>0.72</v>
      </c>
      <c r="AD245" s="129">
        <v>0.78</v>
      </c>
    </row>
    <row r="246" spans="25:30" ht="15">
      <c r="Y246" s="127">
        <v>242</v>
      </c>
      <c r="Z246" s="128">
        <v>0.38</v>
      </c>
      <c r="AA246" s="128">
        <v>0.7</v>
      </c>
      <c r="AB246" s="128">
        <v>0.61</v>
      </c>
      <c r="AC246" s="128">
        <v>0.72</v>
      </c>
      <c r="AD246" s="129">
        <v>0.78</v>
      </c>
    </row>
    <row r="247" spans="25:30" ht="15">
      <c r="Y247" s="127">
        <v>243</v>
      </c>
      <c r="Z247" s="128">
        <v>0.38</v>
      </c>
      <c r="AA247" s="128">
        <v>0.7</v>
      </c>
      <c r="AB247" s="128">
        <v>0.61</v>
      </c>
      <c r="AC247" s="128">
        <v>0.72</v>
      </c>
      <c r="AD247" s="129">
        <v>0.78</v>
      </c>
    </row>
    <row r="248" spans="25:30" ht="15">
      <c r="Y248" s="127">
        <v>244</v>
      </c>
      <c r="Z248" s="128">
        <v>0.38</v>
      </c>
      <c r="AA248" s="128">
        <v>0.7</v>
      </c>
      <c r="AB248" s="128">
        <v>0.61</v>
      </c>
      <c r="AC248" s="128">
        <v>0.72</v>
      </c>
      <c r="AD248" s="129">
        <v>0.78</v>
      </c>
    </row>
    <row r="249" spans="25:30" ht="15">
      <c r="Y249" s="127">
        <v>245</v>
      </c>
      <c r="Z249" s="128">
        <v>0.38</v>
      </c>
      <c r="AA249" s="128">
        <v>0.7</v>
      </c>
      <c r="AB249" s="128">
        <v>0.61</v>
      </c>
      <c r="AC249" s="128">
        <v>0.72</v>
      </c>
      <c r="AD249" s="129">
        <v>0.78</v>
      </c>
    </row>
    <row r="250" spans="25:30" ht="15">
      <c r="Y250" s="127">
        <v>246</v>
      </c>
      <c r="Z250" s="128">
        <v>0.38</v>
      </c>
      <c r="AA250" s="128">
        <v>0.7</v>
      </c>
      <c r="AB250" s="128">
        <v>0.61</v>
      </c>
      <c r="AC250" s="128">
        <v>0.72</v>
      </c>
      <c r="AD250" s="129">
        <v>0.78</v>
      </c>
    </row>
    <row r="251" spans="25:30" ht="15">
      <c r="Y251" s="127">
        <v>247</v>
      </c>
      <c r="Z251" s="128">
        <v>0.38</v>
      </c>
      <c r="AA251" s="128">
        <v>0.7</v>
      </c>
      <c r="AB251" s="128">
        <v>0.61</v>
      </c>
      <c r="AC251" s="128">
        <v>0.72</v>
      </c>
      <c r="AD251" s="129">
        <v>0.78</v>
      </c>
    </row>
    <row r="252" spans="25:30" ht="15">
      <c r="Y252" s="127">
        <v>248</v>
      </c>
      <c r="Z252" s="128">
        <v>0.38</v>
      </c>
      <c r="AA252" s="128">
        <v>0.7</v>
      </c>
      <c r="AB252" s="128">
        <v>0.61</v>
      </c>
      <c r="AC252" s="128">
        <v>0.72</v>
      </c>
      <c r="AD252" s="129">
        <v>0.78</v>
      </c>
    </row>
    <row r="253" spans="25:30" ht="15">
      <c r="Y253" s="127">
        <v>249</v>
      </c>
      <c r="Z253" s="128">
        <v>0.38</v>
      </c>
      <c r="AA253" s="128">
        <v>0.7</v>
      </c>
      <c r="AB253" s="128">
        <v>0.61</v>
      </c>
      <c r="AC253" s="128">
        <v>0.72</v>
      </c>
      <c r="AD253" s="129">
        <v>0.78</v>
      </c>
    </row>
    <row r="254" spans="25:30" ht="15">
      <c r="Y254" s="127">
        <v>250</v>
      </c>
      <c r="Z254" s="128">
        <v>0.38</v>
      </c>
      <c r="AA254" s="128">
        <v>0.7</v>
      </c>
      <c r="AB254" s="128">
        <v>0.61</v>
      </c>
      <c r="AC254" s="128">
        <v>0.72</v>
      </c>
      <c r="AD254" s="129">
        <v>0.78</v>
      </c>
    </row>
  </sheetData>
  <mergeCells count="2">
    <mergeCell ref="T2:W2"/>
    <mergeCell ref="AO2:AV2"/>
  </mergeCells>
  <phoneticPr fontId="4" type="noConversion"/>
  <dataValidations disablePrompts="1" count="1">
    <dataValidation type="list" allowBlank="1" showInputMessage="1" showErrorMessage="1" sqref="G23" xr:uid="{00000000-0002-0000-0000-000000000000}">
      <formula1>bit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NBR PROJETOS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Cálculo de Cargas elétricas</dc:title>
  <dc:subject>Quadro Elétrico</dc:subject>
  <dc:creator>NBR PROJETOS</dc:creator>
  <cp:keywords/>
  <dc:description/>
  <cp:lastModifiedBy>JOSÉ MARTINS CAMPOS DE OLIVEIRA</cp:lastModifiedBy>
  <cp:revision/>
  <dcterms:created xsi:type="dcterms:W3CDTF">2009-07-31T12:43:53Z</dcterms:created>
  <dcterms:modified xsi:type="dcterms:W3CDTF">2024-06-11T00:37:38Z</dcterms:modified>
  <cp:category>Dimensionamento de painéis Elétricos</cp:category>
  <cp:contentStatus/>
</cp:coreProperties>
</file>