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aircraft-optimization\"/>
    </mc:Choice>
  </mc:AlternateContent>
  <xr:revisionPtr revIDLastSave="0" documentId="13_ncr:1_{54D2C9EB-E62A-4483-B7D2-B9FD9B0F6ACB}" xr6:coauthVersionLast="47" xr6:coauthVersionMax="47" xr10:uidLastSave="{00000000-0000-0000-0000-000000000000}"/>
  <bookViews>
    <workbookView xWindow="-108" yWindow="-108" windowWidth="23256" windowHeight="12576" activeTab="1" xr2:uid="{F9466532-F4EC-4DDD-9106-7FDB3136E8AE}"/>
  </bookViews>
  <sheets>
    <sheet name="Exercício 4" sheetId="1" r:id="rId1"/>
    <sheet name="Exercício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2" l="1"/>
  <c r="E31" i="2"/>
  <c r="C31" i="2"/>
  <c r="G30" i="2"/>
  <c r="E30" i="2"/>
  <c r="C30" i="2"/>
  <c r="O68" i="2"/>
  <c r="M68" i="2" s="1"/>
  <c r="O58" i="2"/>
  <c r="M58" i="2" s="1"/>
  <c r="G17" i="2"/>
  <c r="J12" i="2"/>
  <c r="G12" i="2"/>
  <c r="N22" i="2"/>
  <c r="H17" i="2"/>
  <c r="K13" i="2"/>
  <c r="H13" i="2"/>
  <c r="D17" i="2" s="1"/>
  <c r="F6" i="2"/>
  <c r="H18" i="2" s="1"/>
  <c r="F5" i="2"/>
  <c r="E32" i="1"/>
  <c r="G32" i="1"/>
  <c r="C32" i="1"/>
  <c r="C31" i="1"/>
  <c r="E31" i="1"/>
  <c r="G31" i="1"/>
  <c r="G30" i="1"/>
  <c r="E30" i="1"/>
  <c r="C30" i="1"/>
  <c r="O30" i="1"/>
  <c r="M30" i="1" s="1"/>
  <c r="M24" i="1"/>
  <c r="O25" i="1" s="1"/>
  <c r="N24" i="1"/>
  <c r="O24" i="1"/>
  <c r="M23" i="1"/>
  <c r="N23" i="1"/>
  <c r="M22" i="1"/>
  <c r="O23" i="1" s="1"/>
  <c r="N22" i="1"/>
  <c r="D20" i="1"/>
  <c r="K13" i="1"/>
  <c r="H17" i="1"/>
  <c r="F6" i="1"/>
  <c r="H18" i="1" s="1"/>
  <c r="D18" i="1" s="1"/>
  <c r="F5" i="1"/>
  <c r="H13" i="1" s="1"/>
  <c r="D17" i="1" s="1"/>
  <c r="N68" i="2" l="1"/>
  <c r="O69" i="2" s="1"/>
  <c r="N58" i="2"/>
  <c r="O59" i="2" s="1"/>
  <c r="D20" i="2"/>
  <c r="D18" i="2"/>
  <c r="M22" i="2" s="1"/>
  <c r="O23" i="2" s="1"/>
  <c r="N23" i="2" s="1"/>
  <c r="N30" i="1"/>
  <c r="O31" i="1" s="1"/>
  <c r="M25" i="1"/>
  <c r="N25" i="1"/>
  <c r="M69" i="2" l="1"/>
  <c r="O70" i="2" s="1"/>
  <c r="N69" i="2"/>
  <c r="M59" i="2"/>
  <c r="N59" i="2"/>
  <c r="M23" i="2"/>
  <c r="O24" i="2" s="1"/>
  <c r="N31" i="1"/>
  <c r="M31" i="1"/>
  <c r="O32" i="1" s="1"/>
  <c r="O26" i="1"/>
  <c r="M70" i="2" l="1"/>
  <c r="O71" i="2" s="1"/>
  <c r="N70" i="2"/>
  <c r="O60" i="2"/>
  <c r="N24" i="2"/>
  <c r="M24" i="2"/>
  <c r="M32" i="1"/>
  <c r="O33" i="1" s="1"/>
  <c r="N32" i="1"/>
  <c r="N26" i="1"/>
  <c r="M26" i="1"/>
  <c r="O27" i="1" s="1"/>
  <c r="M71" i="2" l="1"/>
  <c r="N71" i="2"/>
  <c r="M60" i="2"/>
  <c r="O61" i="2" s="1"/>
  <c r="N60" i="2"/>
  <c r="O25" i="2"/>
  <c r="M25" i="2" s="1"/>
  <c r="M33" i="1"/>
  <c r="O34" i="1" s="1"/>
  <c r="N33" i="1"/>
  <c r="M27" i="1"/>
  <c r="N27" i="1"/>
  <c r="O72" i="2" l="1"/>
  <c r="N61" i="2"/>
  <c r="M61" i="2"/>
  <c r="O62" i="2" s="1"/>
  <c r="N25" i="2"/>
  <c r="O26" i="2" s="1"/>
  <c r="N26" i="2" s="1"/>
  <c r="M34" i="1"/>
  <c r="O35" i="1" s="1"/>
  <c r="N34" i="1"/>
  <c r="O28" i="1"/>
  <c r="M72" i="2" l="1"/>
  <c r="O73" i="2" s="1"/>
  <c r="N72" i="2"/>
  <c r="M62" i="2"/>
  <c r="O63" i="2" s="1"/>
  <c r="N62" i="2"/>
  <c r="M26" i="2"/>
  <c r="O27" i="2" s="1"/>
  <c r="N27" i="2" s="1"/>
  <c r="N35" i="1"/>
  <c r="M35" i="1"/>
  <c r="O36" i="1" s="1"/>
  <c r="N28" i="1"/>
  <c r="M28" i="1"/>
  <c r="O29" i="1" s="1"/>
  <c r="M73" i="2" l="1"/>
  <c r="O74" i="2" s="1"/>
  <c r="N73" i="2"/>
  <c r="M63" i="2"/>
  <c r="O64" i="2" s="1"/>
  <c r="N63" i="2"/>
  <c r="M27" i="2"/>
  <c r="O28" i="2" s="1"/>
  <c r="M36" i="1"/>
  <c r="O37" i="1" s="1"/>
  <c r="N36" i="1"/>
  <c r="M29" i="1"/>
  <c r="N29" i="1"/>
  <c r="M74" i="2" l="1"/>
  <c r="N74" i="2"/>
  <c r="M64" i="2"/>
  <c r="O65" i="2" s="1"/>
  <c r="N64" i="2"/>
  <c r="N28" i="2"/>
  <c r="M28" i="2"/>
  <c r="M37" i="1"/>
  <c r="N37" i="1"/>
  <c r="O75" i="2" l="1"/>
  <c r="N65" i="2"/>
  <c r="M65" i="2"/>
  <c r="O29" i="2"/>
  <c r="O38" i="1"/>
  <c r="N75" i="2" l="1"/>
  <c r="M75" i="2"/>
  <c r="O76" i="2" s="1"/>
  <c r="O66" i="2"/>
  <c r="M29" i="2"/>
  <c r="N29" i="2"/>
  <c r="M38" i="1"/>
  <c r="N38" i="1"/>
  <c r="M76" i="2" l="1"/>
  <c r="N76" i="2"/>
  <c r="M66" i="2"/>
  <c r="O67" i="2" s="1"/>
  <c r="N66" i="2"/>
  <c r="O30" i="2"/>
  <c r="O39" i="1"/>
  <c r="O77" i="2" l="1"/>
  <c r="M67" i="2"/>
  <c r="N67" i="2"/>
  <c r="N30" i="2"/>
  <c r="M30" i="2"/>
  <c r="O31" i="2" s="1"/>
  <c r="N39" i="1"/>
  <c r="M39" i="1"/>
  <c r="M77" i="2" l="1"/>
  <c r="O78" i="2" s="1"/>
  <c r="N77" i="2"/>
  <c r="N31" i="2"/>
  <c r="M31" i="2"/>
  <c r="O40" i="1"/>
  <c r="M78" i="2" l="1"/>
  <c r="O79" i="2" s="1"/>
  <c r="N78" i="2"/>
  <c r="O32" i="2"/>
  <c r="M40" i="1"/>
  <c r="O41" i="1" s="1"/>
  <c r="N40" i="1"/>
  <c r="N79" i="2" l="1"/>
  <c r="M79" i="2"/>
  <c r="O80" i="2" s="1"/>
  <c r="M32" i="2"/>
  <c r="N32" i="2"/>
  <c r="M41" i="1"/>
  <c r="O42" i="1" s="1"/>
  <c r="N41" i="1"/>
  <c r="M80" i="2" l="1"/>
  <c r="N80" i="2"/>
  <c r="O33" i="2"/>
  <c r="N33" i="2"/>
  <c r="M33" i="2"/>
  <c r="M42" i="1"/>
  <c r="O43" i="1" s="1"/>
  <c r="N42" i="1"/>
  <c r="O81" i="2" l="1"/>
  <c r="O34" i="2"/>
  <c r="M34" i="2" s="1"/>
  <c r="N43" i="1"/>
  <c r="M43" i="1"/>
  <c r="O44" i="1" s="1"/>
  <c r="M81" i="2" l="1"/>
  <c r="O82" i="2" s="1"/>
  <c r="N81" i="2"/>
  <c r="N34" i="2"/>
  <c r="O35" i="2" s="1"/>
  <c r="M44" i="1"/>
  <c r="O45" i="1" s="1"/>
  <c r="N44" i="1"/>
  <c r="M82" i="2" l="1"/>
  <c r="N82" i="2"/>
  <c r="N35" i="2"/>
  <c r="M35" i="2"/>
  <c r="M45" i="1"/>
  <c r="O46" i="1" s="1"/>
  <c r="N45" i="1"/>
  <c r="O83" i="2" l="1"/>
  <c r="O36" i="2"/>
  <c r="N36" i="2" s="1"/>
  <c r="M36" i="2"/>
  <c r="O37" i="2" s="1"/>
  <c r="M46" i="1"/>
  <c r="N46" i="1"/>
  <c r="M83" i="2" l="1"/>
  <c r="N83" i="2"/>
  <c r="N37" i="2"/>
  <c r="M37" i="2"/>
  <c r="O38" i="2" s="1"/>
  <c r="O47" i="1"/>
  <c r="O84" i="2" l="1"/>
  <c r="N38" i="2"/>
  <c r="M38" i="2"/>
  <c r="O39" i="2" s="1"/>
  <c r="N47" i="1"/>
  <c r="M47" i="1"/>
  <c r="O48" i="1" s="1"/>
  <c r="M84" i="2" l="1"/>
  <c r="O85" i="2" s="1"/>
  <c r="N84" i="2"/>
  <c r="N39" i="2"/>
  <c r="M39" i="2"/>
  <c r="O40" i="2" s="1"/>
  <c r="M48" i="1"/>
  <c r="N48" i="1"/>
  <c r="M85" i="2" l="1"/>
  <c r="N85" i="2"/>
  <c r="N40" i="2"/>
  <c r="M40" i="2"/>
  <c r="O49" i="1"/>
  <c r="O86" i="2" l="1"/>
  <c r="O41" i="2"/>
  <c r="N41" i="2" s="1"/>
  <c r="M49" i="1"/>
  <c r="O50" i="1" s="1"/>
  <c r="N49" i="1"/>
  <c r="M86" i="2" l="1"/>
  <c r="O87" i="2" s="1"/>
  <c r="N86" i="2"/>
  <c r="M41" i="2"/>
  <c r="O42" i="2" s="1"/>
  <c r="M42" i="2" s="1"/>
  <c r="M50" i="1"/>
  <c r="O51" i="1" s="1"/>
  <c r="N50" i="1"/>
  <c r="M87" i="2" l="1"/>
  <c r="O88" i="2" s="1"/>
  <c r="N87" i="2"/>
  <c r="N42" i="2"/>
  <c r="O43" i="2"/>
  <c r="N51" i="1"/>
  <c r="M51" i="1"/>
  <c r="O52" i="1" s="1"/>
  <c r="M88" i="2" l="1"/>
  <c r="O89" i="2" s="1"/>
  <c r="N88" i="2"/>
  <c r="N43" i="2"/>
  <c r="M43" i="2"/>
  <c r="M52" i="1"/>
  <c r="O53" i="1" s="1"/>
  <c r="N52" i="1"/>
  <c r="M89" i="2" l="1"/>
  <c r="N89" i="2"/>
  <c r="O44" i="2"/>
  <c r="M53" i="1"/>
  <c r="O54" i="1" s="1"/>
  <c r="N53" i="1"/>
  <c r="O90" i="2" l="1"/>
  <c r="M44" i="2"/>
  <c r="N44" i="2"/>
  <c r="M54" i="1"/>
  <c r="N54" i="1"/>
  <c r="M90" i="2" l="1"/>
  <c r="O91" i="2" s="1"/>
  <c r="N90" i="2"/>
  <c r="O45" i="2"/>
  <c r="O55" i="1"/>
  <c r="M91" i="2" l="1"/>
  <c r="O92" i="2" s="1"/>
  <c r="N91" i="2"/>
  <c r="N45" i="2"/>
  <c r="M45" i="2"/>
  <c r="O46" i="2" s="1"/>
  <c r="N55" i="1"/>
  <c r="M55" i="1"/>
  <c r="O56" i="1" s="1"/>
  <c r="M92" i="2" l="1"/>
  <c r="O93" i="2" s="1"/>
  <c r="N92" i="2"/>
  <c r="N46" i="2"/>
  <c r="M46" i="2"/>
  <c r="M56" i="1"/>
  <c r="O57" i="1" s="1"/>
  <c r="N56" i="1"/>
  <c r="M93" i="2" l="1"/>
  <c r="O94" i="2" s="1"/>
  <c r="N93" i="2"/>
  <c r="O47" i="2"/>
  <c r="M57" i="1"/>
  <c r="N57" i="1"/>
  <c r="M94" i="2" l="1"/>
  <c r="N94" i="2"/>
  <c r="N47" i="2"/>
  <c r="M47" i="2"/>
  <c r="O48" i="2" s="1"/>
  <c r="O95" i="2" l="1"/>
  <c r="N48" i="2"/>
  <c r="M48" i="2"/>
  <c r="N95" i="2" l="1"/>
  <c r="M95" i="2"/>
  <c r="O96" i="2" s="1"/>
  <c r="O49" i="2"/>
  <c r="M96" i="2" l="1"/>
  <c r="O97" i="2" s="1"/>
  <c r="N96" i="2"/>
  <c r="N49" i="2"/>
  <c r="M49" i="2"/>
  <c r="M97" i="2" l="1"/>
  <c r="N97" i="2"/>
  <c r="O50" i="2"/>
  <c r="M50" i="2" l="1"/>
  <c r="N50" i="2"/>
  <c r="O51" i="2" l="1"/>
  <c r="M51" i="2" l="1"/>
  <c r="N51" i="2"/>
  <c r="O52" i="2" l="1"/>
  <c r="N52" i="2"/>
  <c r="M52" i="2"/>
  <c r="O53" i="2" s="1"/>
  <c r="N53" i="2" l="1"/>
  <c r="M53" i="2"/>
  <c r="O54" i="2" s="1"/>
  <c r="N54" i="2" l="1"/>
  <c r="M54" i="2"/>
  <c r="O55" i="2" s="1"/>
  <c r="N55" i="2" l="1"/>
  <c r="M55" i="2"/>
  <c r="O56" i="2" s="1"/>
  <c r="N56" i="2" l="1"/>
  <c r="M56" i="2"/>
  <c r="O57" i="2" s="1"/>
  <c r="M57" i="2" l="1"/>
  <c r="E32" i="2" s="1"/>
  <c r="N57" i="2"/>
  <c r="G32" i="2" s="1"/>
  <c r="C32" i="2"/>
</calcChain>
</file>

<file path=xl/sharedStrings.xml><?xml version="1.0" encoding="utf-8"?>
<sst xmlns="http://schemas.openxmlformats.org/spreadsheetml/2006/main" count="106" uniqueCount="44">
  <si>
    <t xml:space="preserve">Table 1: Data for Class I method </t>
  </si>
  <si>
    <t>Source</t>
  </si>
  <si>
    <t>Value</t>
  </si>
  <si>
    <t>Data</t>
  </si>
  <si>
    <t>L/D max</t>
  </si>
  <si>
    <t>Cruise L/D</t>
  </si>
  <si>
    <t>Loiter L/D</t>
  </si>
  <si>
    <t>Cruise TSFC</t>
  </si>
  <si>
    <t>Loiter TSFC</t>
  </si>
  <si>
    <t>NÓIS ACHA</t>
  </si>
  <si>
    <t>Table 2: Fuel Fractions for Class 1 method</t>
  </si>
  <si>
    <t>Mission phase</t>
  </si>
  <si>
    <t>W_i+1/W_i</t>
  </si>
  <si>
    <t>Engine start and warm-up</t>
  </si>
  <si>
    <t>Taxi</t>
  </si>
  <si>
    <t>Takeoff</t>
  </si>
  <si>
    <t>Climb</t>
  </si>
  <si>
    <t>Cruise</t>
  </si>
  <si>
    <t>Loiter</t>
  </si>
  <si>
    <t>Descent</t>
  </si>
  <si>
    <t>Alternate Cruise</t>
  </si>
  <si>
    <t>Landing</t>
  </si>
  <si>
    <t>OPCIONALZÃO</t>
  </si>
  <si>
    <t>1/h</t>
  </si>
  <si>
    <t>C</t>
  </si>
  <si>
    <t>R</t>
  </si>
  <si>
    <t>V</t>
  </si>
  <si>
    <t>L/D CRUISE</t>
  </si>
  <si>
    <t>E</t>
  </si>
  <si>
    <t>L/D LOITER</t>
  </si>
  <si>
    <t>Table 3: Comparison between the code and the Class 1 method</t>
  </si>
  <si>
    <t>Method</t>
  </si>
  <si>
    <t>MTOW</t>
  </si>
  <si>
    <t>Fuel Weight</t>
  </si>
  <si>
    <t>Empty Weight</t>
  </si>
  <si>
    <t>Class I</t>
  </si>
  <si>
    <t>Code</t>
  </si>
  <si>
    <t>ERROR (%)</t>
  </si>
  <si>
    <t>Wp</t>
  </si>
  <si>
    <t>Wc</t>
  </si>
  <si>
    <t>Wf</t>
  </si>
  <si>
    <t>We</t>
  </si>
  <si>
    <t>L/D ALT. CRUISE</t>
  </si>
  <si>
    <t>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</si>
</sst>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" fontId="3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9" fontId="0" fillId="0" borderId="0" xfId="0" applyNumberFormat="1"/>
    <xf numFmtId="4" fontId="0" fillId="0" borderId="0" xfId="0" applyNumberFormat="1"/>
    <xf numFmtId="10" fontId="0" fillId="0" borderId="0" xfId="1" applyNumberFormat="1" applyFont="1" applyAlignment="1">
      <alignment horizontal="center"/>
    </xf>
    <xf numFmtId="0" fontId="5" fillId="0" borderId="0" xfId="0" applyFont="1"/>
    <xf numFmtId="4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5460-C579-4053-8101-F3F07A54AC2C}">
  <dimension ref="B2:O57"/>
  <sheetViews>
    <sheetView workbookViewId="0">
      <selection activeCell="F6" sqref="F6"/>
    </sheetView>
  </sheetViews>
  <sheetFormatPr defaultRowHeight="14.4" x14ac:dyDescent="0.3"/>
  <cols>
    <col min="2" max="2" width="22" customWidth="1"/>
    <col min="4" max="4" width="11.6640625" customWidth="1"/>
    <col min="6" max="6" width="10" customWidth="1"/>
  </cols>
  <sheetData>
    <row r="2" spans="2:11" x14ac:dyDescent="0.3">
      <c r="B2" s="3" t="s">
        <v>0</v>
      </c>
      <c r="C2" s="3"/>
      <c r="D2" s="3"/>
      <c r="E2" s="3"/>
      <c r="F2" s="3"/>
      <c r="G2" s="3"/>
      <c r="H2" s="3"/>
      <c r="I2" s="3"/>
      <c r="J2" s="3"/>
    </row>
    <row r="3" spans="2:11" x14ac:dyDescent="0.3">
      <c r="B3" s="5" t="s">
        <v>3</v>
      </c>
      <c r="C3" s="5"/>
      <c r="D3" s="5" t="s">
        <v>1</v>
      </c>
      <c r="E3" s="5"/>
      <c r="F3" s="5" t="s">
        <v>2</v>
      </c>
    </row>
    <row r="4" spans="2:11" x14ac:dyDescent="0.3">
      <c r="B4" t="s">
        <v>4</v>
      </c>
      <c r="D4" t="s">
        <v>9</v>
      </c>
      <c r="F4" s="2">
        <v>18.5949215416695</v>
      </c>
    </row>
    <row r="5" spans="2:11" x14ac:dyDescent="0.3">
      <c r="B5" t="s">
        <v>5</v>
      </c>
      <c r="D5" t="s">
        <v>9</v>
      </c>
      <c r="F5" s="2">
        <f>0.866*F4</f>
        <v>16.103202055085788</v>
      </c>
    </row>
    <row r="6" spans="2:11" x14ac:dyDescent="0.3">
      <c r="B6" t="s">
        <v>6</v>
      </c>
      <c r="D6" t="s">
        <v>9</v>
      </c>
      <c r="F6" s="2">
        <f>F4</f>
        <v>18.5949215416695</v>
      </c>
    </row>
    <row r="7" spans="2:11" x14ac:dyDescent="0.3">
      <c r="B7" t="s">
        <v>7</v>
      </c>
      <c r="D7" t="s">
        <v>9</v>
      </c>
      <c r="F7">
        <v>0.8</v>
      </c>
      <c r="G7" t="s">
        <v>23</v>
      </c>
    </row>
    <row r="8" spans="2:11" x14ac:dyDescent="0.3">
      <c r="B8" t="s">
        <v>8</v>
      </c>
      <c r="D8" t="s">
        <v>9</v>
      </c>
      <c r="F8">
        <v>0.7</v>
      </c>
      <c r="G8" t="s">
        <v>23</v>
      </c>
    </row>
    <row r="11" spans="2:11" x14ac:dyDescent="0.3">
      <c r="B11" s="3" t="s">
        <v>10</v>
      </c>
      <c r="C11" s="3"/>
      <c r="D11" s="3"/>
      <c r="E11" s="3"/>
      <c r="F11" s="3"/>
      <c r="G11" t="s">
        <v>24</v>
      </c>
      <c r="H11" t="s">
        <v>25</v>
      </c>
      <c r="J11" t="s">
        <v>24</v>
      </c>
      <c r="K11" t="s">
        <v>25</v>
      </c>
    </row>
    <row r="12" spans="2:11" x14ac:dyDescent="0.3">
      <c r="B12" s="5" t="s">
        <v>11</v>
      </c>
      <c r="C12" s="5"/>
      <c r="D12" s="5" t="s">
        <v>12</v>
      </c>
      <c r="E12" s="4"/>
      <c r="G12">
        <v>0.8</v>
      </c>
      <c r="H12">
        <v>2200</v>
      </c>
      <c r="J12">
        <v>0.8</v>
      </c>
      <c r="K12">
        <v>370</v>
      </c>
    </row>
    <row r="13" spans="2:11" x14ac:dyDescent="0.3">
      <c r="B13" t="s">
        <v>13</v>
      </c>
      <c r="D13" s="6">
        <v>0.99</v>
      </c>
      <c r="G13">
        <v>777.6</v>
      </c>
      <c r="H13" s="7">
        <f>F5</f>
        <v>16.103202055085788</v>
      </c>
      <c r="J13">
        <v>460.8</v>
      </c>
      <c r="K13" s="7">
        <f>F5</f>
        <v>16.103202055085788</v>
      </c>
    </row>
    <row r="14" spans="2:11" x14ac:dyDescent="0.3">
      <c r="B14" t="s">
        <v>14</v>
      </c>
      <c r="D14" s="6">
        <v>0.99</v>
      </c>
      <c r="G14" t="s">
        <v>26</v>
      </c>
      <c r="H14" t="s">
        <v>27</v>
      </c>
      <c r="J14" t="s">
        <v>26</v>
      </c>
      <c r="K14" t="s">
        <v>42</v>
      </c>
    </row>
    <row r="15" spans="2:11" x14ac:dyDescent="0.3">
      <c r="B15" t="s">
        <v>15</v>
      </c>
      <c r="D15" s="6">
        <v>0.995</v>
      </c>
    </row>
    <row r="16" spans="2:11" x14ac:dyDescent="0.3">
      <c r="B16" t="s">
        <v>16</v>
      </c>
      <c r="D16" s="6">
        <v>0.98</v>
      </c>
      <c r="G16" t="s">
        <v>24</v>
      </c>
      <c r="H16" t="s">
        <v>28</v>
      </c>
    </row>
    <row r="17" spans="2:15" x14ac:dyDescent="0.3">
      <c r="B17" t="s">
        <v>17</v>
      </c>
      <c r="D17" s="6">
        <f>EXP((-G12*H12)/(G13*H13))</f>
        <v>0.86887647324587969</v>
      </c>
      <c r="G17">
        <v>0.7</v>
      </c>
      <c r="H17">
        <f>3/4</f>
        <v>0.75</v>
      </c>
    </row>
    <row r="18" spans="2:15" x14ac:dyDescent="0.3">
      <c r="B18" t="s">
        <v>18</v>
      </c>
      <c r="D18" s="6">
        <f>EXP((-(G17*H17)/H18))</f>
        <v>0.97216132584653703</v>
      </c>
      <c r="H18" s="7">
        <f>F6</f>
        <v>18.5949215416695</v>
      </c>
      <c r="M18" t="s">
        <v>38</v>
      </c>
      <c r="N18">
        <v>9740</v>
      </c>
    </row>
    <row r="19" spans="2:15" x14ac:dyDescent="0.3">
      <c r="B19" t="s">
        <v>19</v>
      </c>
      <c r="D19" s="6">
        <v>0.99</v>
      </c>
      <c r="H19" t="s">
        <v>29</v>
      </c>
      <c r="M19" t="s">
        <v>39</v>
      </c>
      <c r="N19">
        <v>455</v>
      </c>
    </row>
    <row r="20" spans="2:15" x14ac:dyDescent="0.3">
      <c r="B20" t="s">
        <v>20</v>
      </c>
      <c r="D20" s="6">
        <f>EXP((-J12*K12)/(J13*K13))</f>
        <v>0.96089487037676169</v>
      </c>
      <c r="E20" t="s">
        <v>22</v>
      </c>
    </row>
    <row r="21" spans="2:15" x14ac:dyDescent="0.3">
      <c r="B21" t="s">
        <v>21</v>
      </c>
      <c r="D21" s="6">
        <v>0.99199999999999999</v>
      </c>
      <c r="M21" t="s">
        <v>40</v>
      </c>
      <c r="N21" t="s">
        <v>41</v>
      </c>
      <c r="O21" t="s">
        <v>43</v>
      </c>
    </row>
    <row r="22" spans="2:15" x14ac:dyDescent="0.3">
      <c r="M22">
        <f>(1-PRODUCT($D$13:$D$21))*1.06*O22</f>
        <v>6312.4070492763776</v>
      </c>
      <c r="N22">
        <f>0.97*O22^(-0.06)*O22</f>
        <v>13207.947756316915</v>
      </c>
      <c r="O22">
        <v>25000</v>
      </c>
    </row>
    <row r="23" spans="2:15" x14ac:dyDescent="0.3">
      <c r="M23">
        <f>(1-PRODUCT($D$13:$D$21))*1.06*O23</f>
        <v>7503.0166058630311</v>
      </c>
      <c r="N23">
        <f>0.97*O23^(-0.06)*O23</f>
        <v>15537.237316400175</v>
      </c>
      <c r="O23">
        <f>SUM($N$18,$N$19,M22:N22)</f>
        <v>29715.354805593292</v>
      </c>
    </row>
    <row r="24" spans="2:15" x14ac:dyDescent="0.3">
      <c r="M24">
        <f t="shared" ref="M24:M29" si="0">(1-PRODUCT($D$13:$D$21))*1.06*O24</f>
        <v>8391.7780457353856</v>
      </c>
      <c r="N24">
        <f t="shared" ref="N24:N57" si="1">0.97*O24^(-0.06)*O24</f>
        <v>17261.351461400121</v>
      </c>
      <c r="O24">
        <f t="shared" ref="O24:O29" si="2">SUM($N$18,$N$19,M23:N23)</f>
        <v>33235.253922263204</v>
      </c>
    </row>
    <row r="25" spans="2:15" x14ac:dyDescent="0.3">
      <c r="M25">
        <f t="shared" si="0"/>
        <v>9051.5194161685886</v>
      </c>
      <c r="N25">
        <f t="shared" si="1"/>
        <v>18534.0463230858</v>
      </c>
      <c r="O25">
        <f t="shared" si="2"/>
        <v>35848.129507135513</v>
      </c>
    </row>
    <row r="26" spans="2:15" x14ac:dyDescent="0.3">
      <c r="M26">
        <f t="shared" si="0"/>
        <v>9539.45237992476</v>
      </c>
      <c r="N26">
        <f t="shared" si="1"/>
        <v>19471.709594237076</v>
      </c>
      <c r="O26">
        <f t="shared" si="2"/>
        <v>37780.565739254387</v>
      </c>
    </row>
    <row r="27" spans="2:15" x14ac:dyDescent="0.3">
      <c r="M27">
        <f t="shared" si="0"/>
        <v>9899.4101288308248</v>
      </c>
      <c r="N27">
        <f t="shared" si="1"/>
        <v>20161.591182218646</v>
      </c>
      <c r="O27">
        <f t="shared" si="2"/>
        <v>39206.161974161834</v>
      </c>
    </row>
    <row r="28" spans="2:15" x14ac:dyDescent="0.3">
      <c r="B28" s="3" t="s">
        <v>30</v>
      </c>
      <c r="C28" s="3"/>
      <c r="D28" s="3"/>
      <c r="E28" s="3"/>
      <c r="F28" s="3"/>
      <c r="M28">
        <f t="shared" si="0"/>
        <v>10164.490658061912</v>
      </c>
      <c r="N28">
        <f t="shared" si="1"/>
        <v>20668.669930563228</v>
      </c>
      <c r="O28">
        <f t="shared" si="2"/>
        <v>40256.001311049469</v>
      </c>
    </row>
    <row r="29" spans="2:15" x14ac:dyDescent="0.3">
      <c r="B29" t="s">
        <v>31</v>
      </c>
      <c r="C29" s="1" t="s">
        <v>32</v>
      </c>
      <c r="D29" s="1"/>
      <c r="E29" s="1" t="s">
        <v>33</v>
      </c>
      <c r="F29" s="1"/>
      <c r="G29" s="1" t="s">
        <v>34</v>
      </c>
      <c r="M29">
        <f t="shared" si="0"/>
        <v>10359.458004739225</v>
      </c>
      <c r="N29">
        <f t="shared" si="1"/>
        <v>21041.120241363304</v>
      </c>
      <c r="O29">
        <f t="shared" si="2"/>
        <v>41028.160588625142</v>
      </c>
    </row>
    <row r="30" spans="2:15" x14ac:dyDescent="0.3">
      <c r="B30" t="s">
        <v>35</v>
      </c>
      <c r="C30">
        <f>O57</f>
        <v>43159.614928373281</v>
      </c>
      <c r="E30">
        <f>M57</f>
        <v>10897.6423007167</v>
      </c>
      <c r="G30">
        <f>N57</f>
        <v>22067.06843353136</v>
      </c>
      <c r="M30">
        <f t="shared" ref="M30:M57" si="3">(1-PRODUCT($D$13:$D$21))*1.06*O30</f>
        <v>10502.728853576989</v>
      </c>
      <c r="N30">
        <f t="shared" si="1"/>
        <v>21314.545203469734</v>
      </c>
      <c r="O30">
        <f t="shared" ref="O30:O57" si="4">SUM($N$18,$N$19,M29:N29)</f>
        <v>41595.578246102523</v>
      </c>
    </row>
    <row r="31" spans="2:15" x14ac:dyDescent="0.3">
      <c r="B31" t="s">
        <v>36</v>
      </c>
      <c r="C31">
        <f>419737.26/9.81</f>
        <v>42786.672782874615</v>
      </c>
      <c r="E31">
        <f>90937.66/9.81</f>
        <v>9269.8939857288478</v>
      </c>
      <c r="G31">
        <f>228816.08/9.81</f>
        <v>23324.778797145766</v>
      </c>
      <c r="M31">
        <f t="shared" si="3"/>
        <v>10607.942996553315</v>
      </c>
      <c r="N31">
        <f t="shared" si="1"/>
        <v>21515.198275116396</v>
      </c>
      <c r="O31">
        <f t="shared" si="4"/>
        <v>42012.274057046729</v>
      </c>
    </row>
    <row r="32" spans="2:15" x14ac:dyDescent="0.3">
      <c r="B32" t="s">
        <v>37</v>
      </c>
      <c r="C32" s="8">
        <f>(C30-C31)/C31</f>
        <v>8.7163156478934304E-3</v>
      </c>
      <c r="D32" s="8"/>
      <c r="E32" s="8">
        <f>(E30-E31)/E31</f>
        <v>0.17559513814222649</v>
      </c>
      <c r="F32" s="1"/>
      <c r="G32" s="8">
        <f>ABS((G30-G31)/G31)</f>
        <v>5.3921641639247217E-2</v>
      </c>
      <c r="M32">
        <f t="shared" si="3"/>
        <v>10685.173331022459</v>
      </c>
      <c r="N32">
        <f t="shared" si="1"/>
        <v>21662.407600349066</v>
      </c>
      <c r="O32">
        <f t="shared" si="4"/>
        <v>42318.141271669709</v>
      </c>
    </row>
    <row r="33" spans="13:15" x14ac:dyDescent="0.3">
      <c r="M33">
        <f t="shared" si="3"/>
        <v>10741.843510624018</v>
      </c>
      <c r="N33">
        <f t="shared" si="1"/>
        <v>21770.386430489765</v>
      </c>
      <c r="O33">
        <f t="shared" si="4"/>
        <v>42542.580931371529</v>
      </c>
    </row>
    <row r="34" spans="13:15" x14ac:dyDescent="0.3">
      <c r="M34">
        <f t="shared" si="3"/>
        <v>10783.416773414152</v>
      </c>
      <c r="N34">
        <f t="shared" si="1"/>
        <v>21849.57799489058</v>
      </c>
      <c r="O34">
        <f t="shared" si="4"/>
        <v>42707.229941113779</v>
      </c>
    </row>
    <row r="35" spans="13:15" x14ac:dyDescent="0.3">
      <c r="M35">
        <f t="shared" si="3"/>
        <v>10813.909443272745</v>
      </c>
      <c r="N35">
        <f t="shared" si="1"/>
        <v>21907.650847680961</v>
      </c>
      <c r="O35">
        <f t="shared" si="4"/>
        <v>42827.994768304736</v>
      </c>
    </row>
    <row r="36" spans="13:15" x14ac:dyDescent="0.3">
      <c r="M36">
        <f t="shared" si="3"/>
        <v>10836.271908452434</v>
      </c>
      <c r="N36">
        <f t="shared" si="1"/>
        <v>21950.233596162005</v>
      </c>
      <c r="O36">
        <f t="shared" si="4"/>
        <v>42916.560290953705</v>
      </c>
    </row>
    <row r="37" spans="13:15" x14ac:dyDescent="0.3">
      <c r="M37">
        <f t="shared" si="3"/>
        <v>10852.670333433585</v>
      </c>
      <c r="N37">
        <f t="shared" si="1"/>
        <v>21981.456230082269</v>
      </c>
      <c r="O37">
        <f t="shared" si="4"/>
        <v>42981.505504614441</v>
      </c>
    </row>
    <row r="38" spans="13:15" x14ac:dyDescent="0.3">
      <c r="M38">
        <f t="shared" si="3"/>
        <v>10864.694473749716</v>
      </c>
      <c r="N38">
        <f t="shared" si="1"/>
        <v>22004.348418343463</v>
      </c>
      <c r="O38">
        <f t="shared" si="4"/>
        <v>43029.126563515849</v>
      </c>
    </row>
    <row r="39" spans="13:15" x14ac:dyDescent="0.3">
      <c r="M39">
        <f t="shared" si="3"/>
        <v>10873.510716895571</v>
      </c>
      <c r="N39">
        <f t="shared" si="1"/>
        <v>22021.132277959037</v>
      </c>
      <c r="O39">
        <f t="shared" si="4"/>
        <v>43064.042892093181</v>
      </c>
    </row>
    <row r="40" spans="13:15" x14ac:dyDescent="0.3">
      <c r="M40">
        <f t="shared" si="3"/>
        <v>10879.974647660911</v>
      </c>
      <c r="N40">
        <f t="shared" si="1"/>
        <v>22033.437420953636</v>
      </c>
      <c r="O40">
        <f t="shared" si="4"/>
        <v>43089.642994854614</v>
      </c>
    </row>
    <row r="41" spans="13:15" x14ac:dyDescent="0.3">
      <c r="M41">
        <f t="shared" si="3"/>
        <v>10884.713769001333</v>
      </c>
      <c r="N41">
        <f t="shared" si="1"/>
        <v>22042.458830123058</v>
      </c>
      <c r="O41">
        <f t="shared" si="4"/>
        <v>43108.412068614547</v>
      </c>
    </row>
    <row r="42" spans="13:15" x14ac:dyDescent="0.3">
      <c r="M42">
        <f t="shared" si="3"/>
        <v>10888.188251793017</v>
      </c>
      <c r="N42">
        <f t="shared" si="1"/>
        <v>22049.072718872161</v>
      </c>
      <c r="O42">
        <f t="shared" si="4"/>
        <v>43122.172599124387</v>
      </c>
    </row>
    <row r="43" spans="13:15" x14ac:dyDescent="0.3">
      <c r="M43">
        <f t="shared" si="3"/>
        <v>10890.73552809821</v>
      </c>
      <c r="N43">
        <f t="shared" si="1"/>
        <v>22053.921533379031</v>
      </c>
      <c r="O43">
        <f t="shared" si="4"/>
        <v>43132.260970665178</v>
      </c>
    </row>
    <row r="44" spans="13:15" x14ac:dyDescent="0.3">
      <c r="M44">
        <f t="shared" si="3"/>
        <v>10892.603013529375</v>
      </c>
      <c r="N44">
        <f t="shared" si="1"/>
        <v>22057.47630296191</v>
      </c>
      <c r="O44">
        <f t="shared" si="4"/>
        <v>43139.657061477235</v>
      </c>
    </row>
    <row r="45" spans="13:15" x14ac:dyDescent="0.3">
      <c r="M45">
        <f t="shared" si="3"/>
        <v>10893.972112760322</v>
      </c>
      <c r="N45">
        <f t="shared" si="1"/>
        <v>22060.08236822865</v>
      </c>
      <c r="O45">
        <f t="shared" si="4"/>
        <v>43145.07931649129</v>
      </c>
    </row>
    <row r="46" spans="13:15" x14ac:dyDescent="0.3">
      <c r="M46">
        <f t="shared" si="3"/>
        <v>10894.975827016209</v>
      </c>
      <c r="N46">
        <f t="shared" si="1"/>
        <v>22061.992914746159</v>
      </c>
      <c r="O46">
        <f t="shared" si="4"/>
        <v>43149.054480988969</v>
      </c>
    </row>
    <row r="47" spans="13:15" x14ac:dyDescent="0.3">
      <c r="M47">
        <f t="shared" si="3"/>
        <v>10895.711667026186</v>
      </c>
      <c r="N47">
        <f t="shared" si="1"/>
        <v>22063.393562217505</v>
      </c>
      <c r="O47">
        <f t="shared" si="4"/>
        <v>43151.968741762365</v>
      </c>
    </row>
    <row r="48" spans="13:15" x14ac:dyDescent="0.3">
      <c r="M48">
        <f t="shared" si="3"/>
        <v>10896.2511221717</v>
      </c>
      <c r="N48">
        <f t="shared" si="1"/>
        <v>22064.420393895674</v>
      </c>
      <c r="O48">
        <f t="shared" si="4"/>
        <v>43154.105229243694</v>
      </c>
    </row>
    <row r="49" spans="13:15" x14ac:dyDescent="0.3">
      <c r="M49">
        <f t="shared" si="3"/>
        <v>10896.64660377118</v>
      </c>
      <c r="N49">
        <f t="shared" si="1"/>
        <v>22065.173175646902</v>
      </c>
      <c r="O49">
        <f t="shared" si="4"/>
        <v>43155.671516067378</v>
      </c>
    </row>
    <row r="50" spans="13:15" x14ac:dyDescent="0.3">
      <c r="M50">
        <f t="shared" si="3"/>
        <v>10896.936535997957</v>
      </c>
      <c r="N50">
        <f t="shared" si="1"/>
        <v>22065.725047789223</v>
      </c>
      <c r="O50">
        <f t="shared" si="4"/>
        <v>43156.819779418081</v>
      </c>
    </row>
    <row r="51" spans="13:15" x14ac:dyDescent="0.3">
      <c r="M51">
        <f t="shared" si="3"/>
        <v>10897.1490884713</v>
      </c>
      <c r="N51">
        <f t="shared" si="1"/>
        <v>22066.129630707968</v>
      </c>
      <c r="O51">
        <f t="shared" si="4"/>
        <v>43157.66158378718</v>
      </c>
    </row>
    <row r="52" spans="13:15" x14ac:dyDescent="0.3">
      <c r="M52">
        <f t="shared" si="3"/>
        <v>10897.304912863276</v>
      </c>
      <c r="N52">
        <f t="shared" si="1"/>
        <v>22066.426234282557</v>
      </c>
      <c r="O52">
        <f t="shared" si="4"/>
        <v>43158.278719179267</v>
      </c>
    </row>
    <row r="53" spans="13:15" x14ac:dyDescent="0.3">
      <c r="M53">
        <f t="shared" si="3"/>
        <v>10897.419149242694</v>
      </c>
      <c r="N53">
        <f t="shared" si="1"/>
        <v>22066.643677090211</v>
      </c>
      <c r="O53">
        <f t="shared" si="4"/>
        <v>43158.731147145838</v>
      </c>
    </row>
    <row r="54" spans="13:15" x14ac:dyDescent="0.3">
      <c r="M54">
        <f t="shared" si="3"/>
        <v>10897.502897004237</v>
      </c>
      <c r="N54">
        <f t="shared" si="1"/>
        <v>22066.803086365708</v>
      </c>
      <c r="O54">
        <f t="shared" si="4"/>
        <v>43159.062826332905</v>
      </c>
    </row>
    <row r="55" spans="13:15" x14ac:dyDescent="0.3">
      <c r="M55">
        <f t="shared" si="3"/>
        <v>10897.564293252024</v>
      </c>
      <c r="N55">
        <f t="shared" si="1"/>
        <v>22066.919950712741</v>
      </c>
      <c r="O55">
        <f t="shared" si="4"/>
        <v>43159.305983369944</v>
      </c>
    </row>
    <row r="56" spans="13:15" x14ac:dyDescent="0.3">
      <c r="M56">
        <f t="shared" si="3"/>
        <v>10897.609303389438</v>
      </c>
      <c r="N56">
        <f t="shared" si="1"/>
        <v>22067.005624983845</v>
      </c>
      <c r="O56">
        <f t="shared" si="4"/>
        <v>43159.484243964762</v>
      </c>
    </row>
    <row r="57" spans="13:15" x14ac:dyDescent="0.3">
      <c r="M57">
        <f t="shared" si="3"/>
        <v>10897.6423007167</v>
      </c>
      <c r="N57">
        <f t="shared" si="1"/>
        <v>22067.06843353136</v>
      </c>
      <c r="O57">
        <f t="shared" si="4"/>
        <v>43159.614928373281</v>
      </c>
    </row>
  </sheetData>
  <mergeCells count="3">
    <mergeCell ref="B11:F11"/>
    <mergeCell ref="B2:J2"/>
    <mergeCell ref="B28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FF67-C7B0-4481-82FB-9F49078AD2D6}">
  <dimension ref="B2:O97"/>
  <sheetViews>
    <sheetView tabSelected="1" topLeftCell="A15" workbookViewId="0">
      <selection activeCell="G31" sqref="G31"/>
    </sheetView>
  </sheetViews>
  <sheetFormatPr defaultRowHeight="14.4" x14ac:dyDescent="0.3"/>
  <cols>
    <col min="2" max="2" width="22" customWidth="1"/>
    <col min="4" max="4" width="11.6640625" customWidth="1"/>
    <col min="6" max="6" width="10" customWidth="1"/>
  </cols>
  <sheetData>
    <row r="2" spans="2:11" x14ac:dyDescent="0.3">
      <c r="B2" s="3" t="s">
        <v>0</v>
      </c>
      <c r="C2" s="3"/>
      <c r="D2" s="3"/>
      <c r="E2" s="3"/>
      <c r="F2" s="3"/>
      <c r="G2" s="3"/>
      <c r="H2" s="3"/>
      <c r="I2" s="3"/>
      <c r="J2" s="3"/>
    </row>
    <row r="3" spans="2:11" x14ac:dyDescent="0.3">
      <c r="B3" s="5" t="s">
        <v>3</v>
      </c>
      <c r="C3" s="5"/>
      <c r="D3" s="5" t="s">
        <v>1</v>
      </c>
      <c r="E3" s="5"/>
      <c r="F3" s="5" t="s">
        <v>2</v>
      </c>
    </row>
    <row r="4" spans="2:11" x14ac:dyDescent="0.3">
      <c r="B4" s="9" t="s">
        <v>4</v>
      </c>
      <c r="C4" s="9"/>
      <c r="D4" s="9" t="s">
        <v>9</v>
      </c>
      <c r="E4" s="9"/>
      <c r="F4" s="10">
        <v>15.03</v>
      </c>
      <c r="G4" s="9"/>
    </row>
    <row r="5" spans="2:11" x14ac:dyDescent="0.3">
      <c r="B5" s="9" t="s">
        <v>5</v>
      </c>
      <c r="C5" s="9"/>
      <c r="D5" s="9" t="s">
        <v>9</v>
      </c>
      <c r="E5" s="9"/>
      <c r="F5" s="10">
        <f>0.866*F4</f>
        <v>13.015979999999999</v>
      </c>
      <c r="G5" s="9"/>
    </row>
    <row r="6" spans="2:11" x14ac:dyDescent="0.3">
      <c r="B6" s="9" t="s">
        <v>6</v>
      </c>
      <c r="C6" s="9"/>
      <c r="D6" s="9" t="s">
        <v>9</v>
      </c>
      <c r="E6" s="9"/>
      <c r="F6" s="10">
        <f>F4</f>
        <v>15.03</v>
      </c>
      <c r="G6" s="9"/>
    </row>
    <row r="7" spans="2:11" x14ac:dyDescent="0.3">
      <c r="B7" s="9" t="s">
        <v>7</v>
      </c>
      <c r="C7" s="9"/>
      <c r="D7" s="9" t="s">
        <v>9</v>
      </c>
      <c r="E7" s="9"/>
      <c r="F7" s="9">
        <v>0.8</v>
      </c>
      <c r="G7" s="9" t="s">
        <v>23</v>
      </c>
    </row>
    <row r="8" spans="2:11" x14ac:dyDescent="0.3">
      <c r="B8" s="9" t="s">
        <v>8</v>
      </c>
      <c r="C8" s="9"/>
      <c r="D8" s="9" t="s">
        <v>9</v>
      </c>
      <c r="E8" s="9"/>
      <c r="F8" s="9">
        <v>0.7</v>
      </c>
      <c r="G8" s="9" t="s">
        <v>23</v>
      </c>
    </row>
    <row r="11" spans="2:11" x14ac:dyDescent="0.3">
      <c r="B11" s="3" t="s">
        <v>10</v>
      </c>
      <c r="C11" s="3"/>
      <c r="D11" s="3"/>
      <c r="E11" s="3"/>
      <c r="F11" s="3"/>
      <c r="G11" t="s">
        <v>24</v>
      </c>
      <c r="H11" t="s">
        <v>25</v>
      </c>
      <c r="J11" t="s">
        <v>24</v>
      </c>
      <c r="K11" t="s">
        <v>25</v>
      </c>
    </row>
    <row r="12" spans="2:11" x14ac:dyDescent="0.3">
      <c r="B12" s="5" t="s">
        <v>11</v>
      </c>
      <c r="C12" s="5"/>
      <c r="D12" s="5" t="s">
        <v>12</v>
      </c>
      <c r="E12" s="4"/>
      <c r="G12">
        <f>F7</f>
        <v>0.8</v>
      </c>
      <c r="H12">
        <v>2750</v>
      </c>
      <c r="J12">
        <f>F7</f>
        <v>0.8</v>
      </c>
      <c r="K12">
        <v>370</v>
      </c>
    </row>
    <row r="13" spans="2:11" x14ac:dyDescent="0.3">
      <c r="B13" t="s">
        <v>13</v>
      </c>
      <c r="D13" s="6">
        <v>0.99</v>
      </c>
      <c r="G13">
        <v>840</v>
      </c>
      <c r="H13" s="7">
        <f>F5</f>
        <v>13.015979999999999</v>
      </c>
      <c r="J13">
        <v>460.8</v>
      </c>
      <c r="K13" s="7">
        <f>F5</f>
        <v>13.015979999999999</v>
      </c>
    </row>
    <row r="14" spans="2:11" x14ac:dyDescent="0.3">
      <c r="B14" t="s">
        <v>14</v>
      </c>
      <c r="D14" s="6">
        <v>0.99</v>
      </c>
      <c r="G14" t="s">
        <v>26</v>
      </c>
      <c r="H14" t="s">
        <v>27</v>
      </c>
      <c r="J14" t="s">
        <v>26</v>
      </c>
      <c r="K14" t="s">
        <v>42</v>
      </c>
    </row>
    <row r="15" spans="2:11" x14ac:dyDescent="0.3">
      <c r="B15" t="s">
        <v>15</v>
      </c>
      <c r="D15" s="6">
        <v>0.995</v>
      </c>
    </row>
    <row r="16" spans="2:11" x14ac:dyDescent="0.3">
      <c r="B16" t="s">
        <v>16</v>
      </c>
      <c r="D16" s="6">
        <v>0.98</v>
      </c>
      <c r="G16" t="s">
        <v>24</v>
      </c>
      <c r="H16" t="s">
        <v>28</v>
      </c>
    </row>
    <row r="17" spans="2:15" x14ac:dyDescent="0.3">
      <c r="B17" t="s">
        <v>17</v>
      </c>
      <c r="D17" s="6">
        <f>EXP((-G12*H12)/(G13*H13))</f>
        <v>0.81773426196486543</v>
      </c>
      <c r="G17">
        <f>F8</f>
        <v>0.7</v>
      </c>
      <c r="H17">
        <f>3/4</f>
        <v>0.75</v>
      </c>
    </row>
    <row r="18" spans="2:15" x14ac:dyDescent="0.3">
      <c r="B18" t="s">
        <v>18</v>
      </c>
      <c r="D18" s="6">
        <f>EXP((-(G17*H17)/H18))</f>
        <v>0.96567287607812957</v>
      </c>
      <c r="H18" s="7">
        <f>F6</f>
        <v>15.03</v>
      </c>
      <c r="M18" t="s">
        <v>38</v>
      </c>
      <c r="N18">
        <v>6916</v>
      </c>
    </row>
    <row r="19" spans="2:15" x14ac:dyDescent="0.3">
      <c r="B19" t="s">
        <v>19</v>
      </c>
      <c r="D19" s="6">
        <v>0.99</v>
      </c>
      <c r="H19" t="s">
        <v>29</v>
      </c>
      <c r="M19" t="s">
        <v>39</v>
      </c>
      <c r="N19">
        <v>364</v>
      </c>
    </row>
    <row r="20" spans="2:15" x14ac:dyDescent="0.3">
      <c r="B20" t="s">
        <v>20</v>
      </c>
      <c r="D20" s="6">
        <f>EXP((-J12*K12)/(J13*K13))</f>
        <v>0.95184627935043986</v>
      </c>
      <c r="E20" t="s">
        <v>22</v>
      </c>
    </row>
    <row r="21" spans="2:15" x14ac:dyDescent="0.3">
      <c r="B21" t="s">
        <v>21</v>
      </c>
      <c r="D21" s="6">
        <v>0.99199999999999999</v>
      </c>
      <c r="M21" t="s">
        <v>40</v>
      </c>
      <c r="N21" t="s">
        <v>41</v>
      </c>
      <c r="O21" t="s">
        <v>43</v>
      </c>
    </row>
    <row r="22" spans="2:15" x14ac:dyDescent="0.3">
      <c r="M22">
        <f>(1-PRODUCT($D$13:$D$21))*1.06*O22</f>
        <v>7805.1781688195515</v>
      </c>
      <c r="N22">
        <f>0.97*O22^(-0.06)*O22</f>
        <v>13207.947756316915</v>
      </c>
      <c r="O22">
        <v>25000</v>
      </c>
    </row>
    <row r="23" spans="2:15" x14ac:dyDescent="0.3">
      <c r="M23">
        <f>(1-PRODUCT($D$13:$D$21))*1.06*O23</f>
        <v>8833.315551941505</v>
      </c>
      <c r="N23">
        <f>0.97*O23^(-0.06)*O23</f>
        <v>14837.195215872522</v>
      </c>
      <c r="O23">
        <f>SUM($N$18,$N$19,M22:N22)</f>
        <v>28293.125925136468</v>
      </c>
    </row>
    <row r="24" spans="2:15" x14ac:dyDescent="0.3">
      <c r="M24">
        <f t="shared" ref="M24:M57" si="0">(1-PRODUCT($D$13:$D$21))*1.06*O24</f>
        <v>9662.9700383502604</v>
      </c>
      <c r="N24">
        <f t="shared" ref="N24:N87" si="1">0.97*O24^(-0.06)*O24</f>
        <v>16143.566443183941</v>
      </c>
      <c r="O24">
        <f t="shared" ref="O24:O57" si="2">SUM($N$18,$N$19,M23:N23)</f>
        <v>30950.510767814027</v>
      </c>
    </row>
    <row r="25" spans="2:15" x14ac:dyDescent="0.3">
      <c r="M25">
        <f t="shared" si="0"/>
        <v>10329.852489100896</v>
      </c>
      <c r="N25">
        <f t="shared" si="1"/>
        <v>17188.736863081358</v>
      </c>
      <c r="O25">
        <f t="shared" si="2"/>
        <v>33086.536481534204</v>
      </c>
    </row>
    <row r="26" spans="2:15" x14ac:dyDescent="0.3">
      <c r="M26">
        <f t="shared" si="0"/>
        <v>10864.367596694778</v>
      </c>
      <c r="N26">
        <f t="shared" si="1"/>
        <v>18023.522581966175</v>
      </c>
      <c r="O26">
        <f t="shared" si="2"/>
        <v>34798.589352182258</v>
      </c>
    </row>
    <row r="27" spans="2:15" x14ac:dyDescent="0.3">
      <c r="M27">
        <f t="shared" si="0"/>
        <v>11291.873073389901</v>
      </c>
      <c r="N27">
        <f t="shared" si="1"/>
        <v>18689.406883381074</v>
      </c>
      <c r="O27">
        <f t="shared" si="2"/>
        <v>36167.890178660949</v>
      </c>
    </row>
    <row r="28" spans="2:15" x14ac:dyDescent="0.3">
      <c r="B28" s="3" t="s">
        <v>30</v>
      </c>
      <c r="C28" s="3"/>
      <c r="D28" s="3"/>
      <c r="E28" s="3"/>
      <c r="F28" s="3"/>
      <c r="M28">
        <f t="shared" si="0"/>
        <v>11633.237154434493</v>
      </c>
      <c r="N28">
        <f t="shared" si="1"/>
        <v>19220.028942539433</v>
      </c>
      <c r="O28">
        <f t="shared" si="2"/>
        <v>37261.279956770974</v>
      </c>
    </row>
    <row r="29" spans="2:15" x14ac:dyDescent="0.3">
      <c r="B29" t="s">
        <v>31</v>
      </c>
      <c r="C29" s="1" t="s">
        <v>32</v>
      </c>
      <c r="D29" s="1"/>
      <c r="E29" s="1" t="s">
        <v>33</v>
      </c>
      <c r="F29" s="1"/>
      <c r="G29" s="1" t="s">
        <v>34</v>
      </c>
      <c r="M29">
        <f t="shared" si="0"/>
        <v>11905.477441835505</v>
      </c>
      <c r="N29">
        <f t="shared" si="1"/>
        <v>19642.533297370108</v>
      </c>
      <c r="O29">
        <f t="shared" si="2"/>
        <v>38133.266096973923</v>
      </c>
    </row>
    <row r="30" spans="2:15" x14ac:dyDescent="0.3">
      <c r="B30" t="s">
        <v>35</v>
      </c>
      <c r="C30">
        <f>O97</f>
        <v>41524.749197457786</v>
      </c>
      <c r="E30">
        <f>M97</f>
        <v>12964.322636068187</v>
      </c>
      <c r="G30">
        <f>N97</f>
        <v>21280.42666926964</v>
      </c>
      <c r="M30">
        <f t="shared" si="0"/>
        <v>12122.381670413548</v>
      </c>
      <c r="N30">
        <f t="shared" si="1"/>
        <v>19978.743302396731</v>
      </c>
      <c r="O30">
        <f t="shared" si="2"/>
        <v>38828.010739205609</v>
      </c>
    </row>
    <row r="31" spans="2:15" x14ac:dyDescent="0.3">
      <c r="B31" t="s">
        <v>36</v>
      </c>
      <c r="C31">
        <f>40117.19</f>
        <v>40117.19</v>
      </c>
      <c r="E31">
        <f>10911.83</f>
        <v>10911.83</v>
      </c>
      <c r="G31">
        <f>21925.37</f>
        <v>21925.37</v>
      </c>
      <c r="M31">
        <f t="shared" si="0"/>
        <v>12295.06787605333</v>
      </c>
      <c r="N31">
        <f t="shared" si="1"/>
        <v>20246.155370797591</v>
      </c>
      <c r="O31">
        <f t="shared" si="2"/>
        <v>39381.124972810278</v>
      </c>
    </row>
    <row r="32" spans="2:15" x14ac:dyDescent="0.3">
      <c r="B32" t="s">
        <v>37</v>
      </c>
      <c r="C32" s="8">
        <f>(C30-C31)/C31</f>
        <v>3.5086186182476484E-2</v>
      </c>
      <c r="D32" s="8"/>
      <c r="E32" s="8">
        <f>(E30-E31)/E31</f>
        <v>0.18809793005098022</v>
      </c>
      <c r="F32" s="1"/>
      <c r="G32" s="8">
        <f>ABS((G30-G31)/G31)</f>
        <v>2.941539097084149E-2</v>
      </c>
      <c r="M32">
        <f t="shared" si="0"/>
        <v>12432.469693680416</v>
      </c>
      <c r="N32">
        <f t="shared" si="1"/>
        <v>20458.766949198955</v>
      </c>
      <c r="O32">
        <f t="shared" si="2"/>
        <v>39821.223246850917</v>
      </c>
    </row>
    <row r="33" spans="13:15" x14ac:dyDescent="0.3">
      <c r="M33">
        <f t="shared" si="0"/>
        <v>12541.746370379444</v>
      </c>
      <c r="N33">
        <f t="shared" si="1"/>
        <v>20627.757802541393</v>
      </c>
      <c r="O33">
        <f t="shared" si="2"/>
        <v>40171.236642879376</v>
      </c>
    </row>
    <row r="34" spans="13:15" x14ac:dyDescent="0.3">
      <c r="M34">
        <f t="shared" si="0"/>
        <v>12628.623476402281</v>
      </c>
      <c r="N34">
        <f t="shared" si="1"/>
        <v>20762.04579102667</v>
      </c>
      <c r="O34">
        <f t="shared" si="2"/>
        <v>40449.504172920831</v>
      </c>
    </row>
    <row r="35" spans="13:15" x14ac:dyDescent="0.3">
      <c r="M35">
        <f t="shared" si="0"/>
        <v>12697.672795096669</v>
      </c>
      <c r="N35">
        <f t="shared" si="1"/>
        <v>20868.737402527917</v>
      </c>
      <c r="O35">
        <f t="shared" si="2"/>
        <v>40670.669267428952</v>
      </c>
    </row>
    <row r="36" spans="13:15" x14ac:dyDescent="0.3">
      <c r="M36">
        <f t="shared" si="0"/>
        <v>12752.54036596591</v>
      </c>
      <c r="N36">
        <f t="shared" si="1"/>
        <v>20953.491248166483</v>
      </c>
      <c r="O36">
        <f t="shared" si="2"/>
        <v>40846.410197624587</v>
      </c>
    </row>
    <row r="37" spans="13:15" x14ac:dyDescent="0.3">
      <c r="M37">
        <f t="shared" si="0"/>
        <v>12796.131167246966</v>
      </c>
      <c r="N37">
        <f t="shared" si="1"/>
        <v>21020.810287551874</v>
      </c>
      <c r="O37">
        <f t="shared" si="2"/>
        <v>40986.031614132393</v>
      </c>
    </row>
    <row r="38" spans="13:15" x14ac:dyDescent="0.3">
      <c r="M38">
        <f t="shared" si="0"/>
        <v>12830.758009930045</v>
      </c>
      <c r="N38">
        <f t="shared" si="1"/>
        <v>21074.276115031131</v>
      </c>
      <c r="O38">
        <f t="shared" si="2"/>
        <v>41096.941454798842</v>
      </c>
    </row>
    <row r="39" spans="13:15" x14ac:dyDescent="0.3">
      <c r="M39">
        <f t="shared" si="0"/>
        <v>12858.261169369411</v>
      </c>
      <c r="N39">
        <f t="shared" si="1"/>
        <v>21116.736398014622</v>
      </c>
      <c r="O39">
        <f t="shared" si="2"/>
        <v>41185.034124961181</v>
      </c>
    </row>
    <row r="40" spans="13:15" x14ac:dyDescent="0.3">
      <c r="M40">
        <f t="shared" si="0"/>
        <v>12880.104254705984</v>
      </c>
      <c r="N40">
        <f t="shared" si="1"/>
        <v>21150.45458944008</v>
      </c>
      <c r="O40">
        <f t="shared" si="2"/>
        <v>41254.997567384038</v>
      </c>
    </row>
    <row r="41" spans="13:15" x14ac:dyDescent="0.3">
      <c r="M41">
        <f t="shared" si="0"/>
        <v>12897.450881282572</v>
      </c>
      <c r="N41">
        <f t="shared" si="1"/>
        <v>21177.229354699339</v>
      </c>
      <c r="O41">
        <f t="shared" si="2"/>
        <v>41310.558844146064</v>
      </c>
    </row>
    <row r="42" spans="13:15" x14ac:dyDescent="0.3">
      <c r="M42">
        <f t="shared" si="0"/>
        <v>12911.225894255977</v>
      </c>
      <c r="N42">
        <f t="shared" si="1"/>
        <v>21198.489744232727</v>
      </c>
      <c r="O42">
        <f t="shared" si="2"/>
        <v>41354.680235981912</v>
      </c>
    </row>
    <row r="43" spans="13:15" x14ac:dyDescent="0.3">
      <c r="M43">
        <f t="shared" si="0"/>
        <v>12922.164196607249</v>
      </c>
      <c r="N43">
        <f t="shared" si="1"/>
        <v>21215.370978016468</v>
      </c>
      <c r="O43">
        <f t="shared" si="2"/>
        <v>41389.715638488706</v>
      </c>
    </row>
    <row r="44" spans="13:15" x14ac:dyDescent="0.3">
      <c r="M44">
        <f t="shared" si="0"/>
        <v>12930.849654051555</v>
      </c>
      <c r="N44">
        <f t="shared" si="1"/>
        <v>21228.774754293627</v>
      </c>
      <c r="O44">
        <f t="shared" si="2"/>
        <v>41417.535174623714</v>
      </c>
    </row>
    <row r="45" spans="13:15" x14ac:dyDescent="0.3">
      <c r="M45">
        <f t="shared" si="0"/>
        <v>12937.746070243906</v>
      </c>
      <c r="N45">
        <f t="shared" si="1"/>
        <v>21239.417219422907</v>
      </c>
      <c r="O45">
        <f t="shared" si="2"/>
        <v>41439.624408345182</v>
      </c>
    </row>
    <row r="46" spans="13:15" x14ac:dyDescent="0.3">
      <c r="M46">
        <f t="shared" si="0"/>
        <v>12943.221833987791</v>
      </c>
      <c r="N46">
        <f t="shared" si="1"/>
        <v>21247.867108639675</v>
      </c>
      <c r="O46">
        <f t="shared" si="2"/>
        <v>41457.163289666816</v>
      </c>
    </row>
    <row r="47" spans="13:15" x14ac:dyDescent="0.3">
      <c r="M47">
        <f t="shared" si="0"/>
        <v>12947.569522086791</v>
      </c>
      <c r="N47">
        <f t="shared" si="1"/>
        <v>21254.576062497959</v>
      </c>
      <c r="O47">
        <f t="shared" si="2"/>
        <v>41471.088942627466</v>
      </c>
    </row>
    <row r="48" spans="13:15" x14ac:dyDescent="0.3">
      <c r="M48">
        <f t="shared" si="0"/>
        <v>12951.02148450381</v>
      </c>
      <c r="N48">
        <f t="shared" si="1"/>
        <v>21259.902718299996</v>
      </c>
      <c r="O48">
        <f t="shared" si="2"/>
        <v>41482.145584584752</v>
      </c>
    </row>
    <row r="49" spans="13:15" x14ac:dyDescent="0.3">
      <c r="M49">
        <f t="shared" si="0"/>
        <v>12953.76223167484</v>
      </c>
      <c r="N49">
        <f t="shared" si="1"/>
        <v>21264.131851075159</v>
      </c>
      <c r="O49">
        <f t="shared" si="2"/>
        <v>41490.924202803806</v>
      </c>
    </row>
    <row r="50" spans="13:15" x14ac:dyDescent="0.3">
      <c r="M50">
        <f t="shared" si="0"/>
        <v>12955.938277866653</v>
      </c>
      <c r="N50">
        <f t="shared" si="1"/>
        <v>21267.489579060697</v>
      </c>
      <c r="O50">
        <f t="shared" si="2"/>
        <v>41497.894082749997</v>
      </c>
    </row>
    <row r="51" spans="13:15" x14ac:dyDescent="0.3">
      <c r="M51">
        <f t="shared" si="0"/>
        <v>12957.665961602665</v>
      </c>
      <c r="N51">
        <f t="shared" si="1"/>
        <v>21270.155441400624</v>
      </c>
      <c r="O51">
        <f t="shared" si="2"/>
        <v>41503.427856927352</v>
      </c>
    </row>
    <row r="52" spans="13:15" x14ac:dyDescent="0.3">
      <c r="M52">
        <f t="shared" si="0"/>
        <v>12959.037657999288</v>
      </c>
      <c r="N52">
        <f t="shared" si="1"/>
        <v>21272.271990540452</v>
      </c>
      <c r="O52">
        <f t="shared" si="2"/>
        <v>41507.82140300329</v>
      </c>
    </row>
    <row r="53" spans="13:15" x14ac:dyDescent="0.3">
      <c r="M53">
        <f t="shared" si="0"/>
        <v>12960.126713115631</v>
      </c>
      <c r="N53">
        <f t="shared" si="1"/>
        <v>21273.952410161321</v>
      </c>
      <c r="O53">
        <f t="shared" si="2"/>
        <v>41511.30964853974</v>
      </c>
    </row>
    <row r="54" spans="13:15" x14ac:dyDescent="0.3">
      <c r="M54">
        <f t="shared" si="0"/>
        <v>12960.991362865952</v>
      </c>
      <c r="N54">
        <f t="shared" si="1"/>
        <v>21275.286564707618</v>
      </c>
      <c r="O54">
        <f t="shared" si="2"/>
        <v>41514.079123276955</v>
      </c>
    </row>
    <row r="55" spans="13:15" x14ac:dyDescent="0.3">
      <c r="M55">
        <f t="shared" si="0"/>
        <v>12961.677845237689</v>
      </c>
      <c r="N55">
        <f t="shared" si="1"/>
        <v>21276.345803189539</v>
      </c>
      <c r="O55">
        <f t="shared" si="2"/>
        <v>41516.277927573567</v>
      </c>
    </row>
    <row r="56" spans="13:15" x14ac:dyDescent="0.3">
      <c r="M56">
        <f t="shared" si="0"/>
        <v>12962.222871729524</v>
      </c>
      <c r="N56">
        <f t="shared" si="1"/>
        <v>21277.186773638368</v>
      </c>
      <c r="O56">
        <f t="shared" si="2"/>
        <v>41518.023648427232</v>
      </c>
    </row>
    <row r="57" spans="13:15" x14ac:dyDescent="0.3">
      <c r="M57">
        <f t="shared" si="0"/>
        <v>12962.655589852056</v>
      </c>
      <c r="N57">
        <f t="shared" si="1"/>
        <v>21277.854451880979</v>
      </c>
      <c r="O57">
        <f t="shared" si="2"/>
        <v>41519.409645367894</v>
      </c>
    </row>
    <row r="58" spans="13:15" x14ac:dyDescent="0.3">
      <c r="M58">
        <f t="shared" ref="M58:M68" si="3">(1-PRODUCT($D$13:$D$21))*1.06*O58</f>
        <v>12962.999141439508</v>
      </c>
      <c r="N58">
        <f t="shared" si="1"/>
        <v>21278.384546406978</v>
      </c>
      <c r="O58">
        <f t="shared" ref="O58:O68" si="4">SUM($N$18,$N$19,M57:N57)</f>
        <v>41520.51004173304</v>
      </c>
    </row>
    <row r="59" spans="13:15" x14ac:dyDescent="0.3">
      <c r="M59">
        <f t="shared" si="3"/>
        <v>12963.271899982385</v>
      </c>
      <c r="N59">
        <f t="shared" si="1"/>
        <v>21278.805407813397</v>
      </c>
      <c r="O59">
        <f t="shared" si="4"/>
        <v>41521.383687846486</v>
      </c>
    </row>
    <row r="60" spans="13:15" x14ac:dyDescent="0.3">
      <c r="M60">
        <f t="shared" si="3"/>
        <v>12963.488453073815</v>
      </c>
      <c r="N60">
        <f t="shared" si="1"/>
        <v>21279.139544865375</v>
      </c>
      <c r="O60">
        <f t="shared" si="4"/>
        <v>41522.077307795786</v>
      </c>
    </row>
    <row r="61" spans="13:15" x14ac:dyDescent="0.3">
      <c r="M61">
        <f t="shared" si="3"/>
        <v>12963.660382461216</v>
      </c>
      <c r="N61">
        <f t="shared" si="1"/>
        <v>21279.404828203646</v>
      </c>
      <c r="O61">
        <f t="shared" si="4"/>
        <v>41522.627997939184</v>
      </c>
    </row>
    <row r="62" spans="13:15" x14ac:dyDescent="0.3">
      <c r="M62">
        <f t="shared" si="3"/>
        <v>12963.79688339008</v>
      </c>
      <c r="N62">
        <f t="shared" si="1"/>
        <v>21279.615446043845</v>
      </c>
      <c r="O62">
        <f t="shared" si="4"/>
        <v>41523.065210664863</v>
      </c>
    </row>
    <row r="63" spans="13:15" x14ac:dyDescent="0.3">
      <c r="M63">
        <f t="shared" si="3"/>
        <v>12963.905256343611</v>
      </c>
      <c r="N63">
        <f t="shared" si="1"/>
        <v>21279.782662960708</v>
      </c>
      <c r="O63">
        <f t="shared" si="4"/>
        <v>41523.412329433922</v>
      </c>
    </row>
    <row r="64" spans="13:15" x14ac:dyDescent="0.3">
      <c r="M64">
        <f t="shared" si="3"/>
        <v>12963.991297465209</v>
      </c>
      <c r="N64">
        <f t="shared" si="1"/>
        <v>21279.915422326721</v>
      </c>
      <c r="O64">
        <f t="shared" si="4"/>
        <v>41523.687919304321</v>
      </c>
    </row>
    <row r="65" spans="13:15" x14ac:dyDescent="0.3">
      <c r="M65">
        <f t="shared" si="3"/>
        <v>12964.05960853678</v>
      </c>
      <c r="N65">
        <f t="shared" si="1"/>
        <v>21280.020824617462</v>
      </c>
      <c r="O65">
        <f t="shared" si="4"/>
        <v>41523.906719791936</v>
      </c>
    </row>
    <row r="66" spans="13:15" x14ac:dyDescent="0.3">
      <c r="M66">
        <f t="shared" si="3"/>
        <v>12964.113843086505</v>
      </c>
      <c r="N66">
        <f t="shared" si="1"/>
        <v>21280.104507160071</v>
      </c>
      <c r="O66">
        <f t="shared" si="4"/>
        <v>41524.080433154246</v>
      </c>
    </row>
    <row r="67" spans="13:15" x14ac:dyDescent="0.3">
      <c r="M67">
        <f t="shared" si="3"/>
        <v>12964.156901785633</v>
      </c>
      <c r="N67">
        <f t="shared" si="1"/>
        <v>21280.170945632068</v>
      </c>
      <c r="O67">
        <f t="shared" si="4"/>
        <v>41524.218350246578</v>
      </c>
    </row>
    <row r="68" spans="13:15" x14ac:dyDescent="0.3">
      <c r="M68">
        <f t="shared" si="3"/>
        <v>12964.191087582816</v>
      </c>
      <c r="N68">
        <f t="shared" si="1"/>
        <v>21280.223693433763</v>
      </c>
      <c r="O68">
        <f t="shared" si="4"/>
        <v>41524.327847417699</v>
      </c>
    </row>
    <row r="69" spans="13:15" x14ac:dyDescent="0.3">
      <c r="M69">
        <f t="shared" ref="M69:M97" si="5">(1-PRODUCT($D$13:$D$21))*1.06*O69</f>
        <v>12964.218228871941</v>
      </c>
      <c r="N69">
        <f t="shared" si="1"/>
        <v>21280.26557173561</v>
      </c>
      <c r="O69">
        <f t="shared" ref="O69:O97" si="6">SUM($N$18,$N$19,M68:N68)</f>
        <v>41524.414781016581</v>
      </c>
    </row>
    <row r="70" spans="13:15" x14ac:dyDescent="0.3">
      <c r="M70">
        <f t="shared" si="5"/>
        <v>12964.239777280127</v>
      </c>
      <c r="N70">
        <f t="shared" si="1"/>
        <v>21280.298820364173</v>
      </c>
      <c r="O70">
        <f t="shared" si="6"/>
        <v>41524.483800607552</v>
      </c>
    </row>
    <row r="71" spans="13:15" x14ac:dyDescent="0.3">
      <c r="M71">
        <f t="shared" si="5"/>
        <v>12964.256885305525</v>
      </c>
      <c r="N71">
        <f t="shared" si="1"/>
        <v>21280.325217596204</v>
      </c>
      <c r="O71">
        <f t="shared" si="6"/>
        <v>41524.538597644299</v>
      </c>
    </row>
    <row r="72" spans="13:15" x14ac:dyDescent="0.3">
      <c r="M72">
        <f t="shared" si="5"/>
        <v>12964.270467956947</v>
      </c>
      <c r="N72">
        <f t="shared" si="1"/>
        <v>21280.34617526767</v>
      </c>
      <c r="O72">
        <f t="shared" si="6"/>
        <v>41524.582102901732</v>
      </c>
    </row>
    <row r="73" spans="13:15" x14ac:dyDescent="0.3">
      <c r="M73">
        <f t="shared" si="5"/>
        <v>12964.281251691911</v>
      </c>
      <c r="N73">
        <f t="shared" si="1"/>
        <v>21280.362814284228</v>
      </c>
      <c r="O73">
        <f t="shared" si="6"/>
        <v>41524.616643224617</v>
      </c>
    </row>
    <row r="74" spans="13:15" x14ac:dyDescent="0.3">
      <c r="M74">
        <f t="shared" si="5"/>
        <v>12964.289813270372</v>
      </c>
      <c r="N74">
        <f t="shared" si="1"/>
        <v>21280.376024571746</v>
      </c>
      <c r="O74">
        <f t="shared" si="6"/>
        <v>41524.644065976143</v>
      </c>
    </row>
    <row r="75" spans="13:15" x14ac:dyDescent="0.3">
      <c r="M75">
        <f t="shared" si="5"/>
        <v>12964.296610602092</v>
      </c>
      <c r="N75">
        <f t="shared" si="1"/>
        <v>21280.386512673158</v>
      </c>
      <c r="O75">
        <f t="shared" si="6"/>
        <v>41524.665837842113</v>
      </c>
    </row>
    <row r="76" spans="13:15" x14ac:dyDescent="0.3">
      <c r="M76">
        <f t="shared" si="5"/>
        <v>12964.302007237504</v>
      </c>
      <c r="N76">
        <f t="shared" si="1"/>
        <v>21280.394839537323</v>
      </c>
      <c r="O76">
        <f t="shared" si="6"/>
        <v>41524.683123275245</v>
      </c>
    </row>
    <row r="77" spans="13:15" x14ac:dyDescent="0.3">
      <c r="M77">
        <f t="shared" si="5"/>
        <v>12964.306291811876</v>
      </c>
      <c r="N77">
        <f t="shared" si="1"/>
        <v>21280.401450520883</v>
      </c>
      <c r="O77">
        <f t="shared" si="6"/>
        <v>41524.696846774823</v>
      </c>
    </row>
    <row r="78" spans="13:15" x14ac:dyDescent="0.3">
      <c r="M78">
        <f t="shared" si="5"/>
        <v>12964.309693482714</v>
      </c>
      <c r="N78">
        <f t="shared" si="1"/>
        <v>21280.406699207833</v>
      </c>
      <c r="O78">
        <f t="shared" si="6"/>
        <v>41524.707742332757</v>
      </c>
    </row>
    <row r="79" spans="13:15" x14ac:dyDescent="0.3">
      <c r="M79">
        <f t="shared" si="5"/>
        <v>12964.312394186065</v>
      </c>
      <c r="N79">
        <f t="shared" si="1"/>
        <v>21280.410866320675</v>
      </c>
      <c r="O79">
        <f t="shared" si="6"/>
        <v>41524.716392690549</v>
      </c>
    </row>
    <row r="80" spans="13:15" x14ac:dyDescent="0.3">
      <c r="M80">
        <f t="shared" si="5"/>
        <v>12964.314538367225</v>
      </c>
      <c r="N80">
        <f t="shared" si="1"/>
        <v>21280.414174734666</v>
      </c>
      <c r="O80">
        <f t="shared" si="6"/>
        <v>41524.72326050674</v>
      </c>
    </row>
    <row r="81" spans="13:15" x14ac:dyDescent="0.3">
      <c r="M81">
        <f t="shared" si="5"/>
        <v>12964.31624070629</v>
      </c>
      <c r="N81">
        <f t="shared" si="1"/>
        <v>21280.416801398133</v>
      </c>
      <c r="O81">
        <f t="shared" si="6"/>
        <v>41524.728713101889</v>
      </c>
    </row>
    <row r="82" spans="13:15" x14ac:dyDescent="0.3">
      <c r="M82">
        <f t="shared" si="5"/>
        <v>12964.317592251733</v>
      </c>
      <c r="N82">
        <f t="shared" si="1"/>
        <v>21280.418886796444</v>
      </c>
      <c r="O82">
        <f t="shared" si="6"/>
        <v>41524.733042104424</v>
      </c>
    </row>
    <row r="83" spans="13:15" x14ac:dyDescent="0.3">
      <c r="M83">
        <f t="shared" si="5"/>
        <v>12964.318665290068</v>
      </c>
      <c r="N83">
        <f t="shared" si="1"/>
        <v>21280.420542465767</v>
      </c>
      <c r="O83">
        <f t="shared" si="6"/>
        <v>41524.736479048181</v>
      </c>
    </row>
    <row r="84" spans="13:15" x14ac:dyDescent="0.3">
      <c r="M84">
        <f t="shared" si="5"/>
        <v>12964.319517212045</v>
      </c>
      <c r="N84">
        <f t="shared" si="1"/>
        <v>21280.421856958477</v>
      </c>
      <c r="O84">
        <f t="shared" si="6"/>
        <v>41524.739207755832</v>
      </c>
    </row>
    <row r="85" spans="13:15" x14ac:dyDescent="0.3">
      <c r="M85">
        <f t="shared" si="5"/>
        <v>12964.320193582151</v>
      </c>
      <c r="N85">
        <f t="shared" si="1"/>
        <v>21280.422900579368</v>
      </c>
      <c r="O85">
        <f t="shared" si="6"/>
        <v>41524.741374170524</v>
      </c>
    </row>
    <row r="86" spans="13:15" x14ac:dyDescent="0.3">
      <c r="M86">
        <f t="shared" si="5"/>
        <v>12964.320730575597</v>
      </c>
      <c r="N86">
        <f t="shared" si="1"/>
        <v>21280.423729145816</v>
      </c>
      <c r="O86">
        <f t="shared" si="6"/>
        <v>41524.743094161517</v>
      </c>
    </row>
    <row r="87" spans="13:15" x14ac:dyDescent="0.3">
      <c r="M87">
        <f t="shared" si="5"/>
        <v>12964.321156913127</v>
      </c>
      <c r="N87">
        <f t="shared" si="1"/>
        <v>21280.424386973165</v>
      </c>
      <c r="O87">
        <f t="shared" si="6"/>
        <v>41524.744459721413</v>
      </c>
    </row>
    <row r="88" spans="13:15" x14ac:dyDescent="0.3">
      <c r="M88">
        <f t="shared" si="5"/>
        <v>12964.321495397131</v>
      </c>
      <c r="N88">
        <f t="shared" ref="N88:N97" si="7">0.97*O88^(-0.06)*O88</f>
        <v>21280.424909244881</v>
      </c>
      <c r="O88">
        <f t="shared" si="6"/>
        <v>41524.745543886296</v>
      </c>
    </row>
    <row r="89" spans="13:15" x14ac:dyDescent="0.3">
      <c r="M89">
        <f t="shared" si="5"/>
        <v>12964.3217641312</v>
      </c>
      <c r="N89">
        <f t="shared" si="7"/>
        <v>21280.425323894324</v>
      </c>
      <c r="O89">
        <f t="shared" si="6"/>
        <v>41524.746404642014</v>
      </c>
    </row>
    <row r="90" spans="13:15" x14ac:dyDescent="0.3">
      <c r="M90">
        <f t="shared" si="5"/>
        <v>12964.321977488404</v>
      </c>
      <c r="N90">
        <f t="shared" si="7"/>
        <v>21280.425653098751</v>
      </c>
      <c r="O90">
        <f t="shared" si="6"/>
        <v>41524.747088025528</v>
      </c>
    </row>
    <row r="91" spans="13:15" x14ac:dyDescent="0.3">
      <c r="M91">
        <f t="shared" si="5"/>
        <v>12964.322146880009</v>
      </c>
      <c r="N91">
        <f t="shared" si="7"/>
        <v>21280.425914465439</v>
      </c>
      <c r="O91">
        <f t="shared" si="6"/>
        <v>41524.747630587153</v>
      </c>
    </row>
    <row r="92" spans="13:15" x14ac:dyDescent="0.3">
      <c r="M92">
        <f t="shared" si="5"/>
        <v>12964.322281365821</v>
      </c>
      <c r="N92">
        <f t="shared" si="7"/>
        <v>21280.426121973429</v>
      </c>
      <c r="O92">
        <f t="shared" si="6"/>
        <v>41524.748061345454</v>
      </c>
    </row>
    <row r="93" spans="13:15" x14ac:dyDescent="0.3">
      <c r="M93">
        <f t="shared" si="5"/>
        <v>12964.322388138722</v>
      </c>
      <c r="N93">
        <f t="shared" si="7"/>
        <v>21280.426286721147</v>
      </c>
      <c r="O93">
        <f t="shared" si="6"/>
        <v>41524.748403339254</v>
      </c>
    </row>
    <row r="94" spans="13:15" x14ac:dyDescent="0.3">
      <c r="M94">
        <f t="shared" si="5"/>
        <v>12964.322472909396</v>
      </c>
      <c r="N94">
        <f t="shared" si="7"/>
        <v>21280.426417520015</v>
      </c>
      <c r="O94">
        <f t="shared" si="6"/>
        <v>41524.748674859875</v>
      </c>
    </row>
    <row r="95" spans="13:15" x14ac:dyDescent="0.3">
      <c r="M95">
        <f t="shared" si="5"/>
        <v>12964.322540211742</v>
      </c>
      <c r="N95">
        <f t="shared" si="7"/>
        <v>21280.426521365724</v>
      </c>
      <c r="O95">
        <f t="shared" si="6"/>
        <v>41524.748890429415</v>
      </c>
    </row>
    <row r="96" spans="13:15" x14ac:dyDescent="0.3">
      <c r="M96">
        <f t="shared" si="5"/>
        <v>12964.322593645384</v>
      </c>
      <c r="N96">
        <f t="shared" si="7"/>
        <v>21280.426603812401</v>
      </c>
      <c r="O96">
        <f t="shared" si="6"/>
        <v>41524.749061577466</v>
      </c>
    </row>
    <row r="97" spans="13:15" x14ac:dyDescent="0.3">
      <c r="M97">
        <f t="shared" si="5"/>
        <v>12964.322636068187</v>
      </c>
      <c r="N97">
        <f t="shared" si="7"/>
        <v>21280.42666926964</v>
      </c>
      <c r="O97">
        <f t="shared" si="6"/>
        <v>41524.749197457786</v>
      </c>
    </row>
  </sheetData>
  <mergeCells count="3">
    <mergeCell ref="B2:J2"/>
    <mergeCell ref="B11:F11"/>
    <mergeCell ref="B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Exercício 4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2022-08-26T16:50:16Z</dcterms:created>
  <dcterms:modified xsi:type="dcterms:W3CDTF">2022-08-26T20:40:26Z</dcterms:modified>
</cp:coreProperties>
</file>