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nasescobar/Desktop/Smart Grid Test Facility - Team 14 - ECE 2015 copy/Hardware Documentation/Loads/"/>
    </mc:Choice>
  </mc:AlternateContent>
  <xr:revisionPtr revIDLastSave="0" documentId="13_ncr:1_{E25C8EA8-FEB3-7D47-947D-B4DF8B1BEABA}" xr6:coauthVersionLast="36" xr6:coauthVersionMax="36" xr10:uidLastSave="{00000000-0000-0000-0000-000000000000}"/>
  <bookViews>
    <workbookView xWindow="0" yWindow="500" windowWidth="28800" windowHeight="15840" tabRatio="500" activeTab="1" xr2:uid="{00000000-000D-0000-FFFF-FFFF00000000}"/>
  </bookViews>
  <sheets>
    <sheet name="Sheet1" sheetId="1" r:id="rId1"/>
    <sheet name="Sheet2" sheetId="2" r:id="rId2"/>
  </sheets>
  <calcPr calcId="18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8" i="2" l="1"/>
  <c r="D8" i="2"/>
  <c r="K8" i="2" s="1"/>
  <c r="E8" i="2" l="1"/>
  <c r="K36" i="2" l="1"/>
  <c r="K34" i="2"/>
  <c r="I44" i="2"/>
  <c r="I43" i="2"/>
  <c r="I41" i="2"/>
  <c r="I46" i="2" s="1"/>
  <c r="I47" i="2" s="1"/>
  <c r="K39" i="2" s="1"/>
  <c r="I25" i="2"/>
  <c r="I30" i="2" s="1"/>
  <c r="I28" i="2"/>
  <c r="I27" i="2"/>
  <c r="I24" i="2"/>
  <c r="D5" i="2"/>
  <c r="E5" i="2" s="1"/>
  <c r="D6" i="2"/>
  <c r="F6" i="2" s="1"/>
  <c r="E6" i="2"/>
  <c r="D7" i="2"/>
  <c r="E7" i="2" s="1"/>
  <c r="F7" i="2"/>
  <c r="D4" i="2"/>
  <c r="E4" i="2" s="1"/>
  <c r="D3" i="2"/>
  <c r="K3" i="2" s="1"/>
  <c r="D2" i="2"/>
  <c r="F2" i="2" s="1"/>
  <c r="I11" i="2"/>
  <c r="I9" i="2"/>
  <c r="I14" i="2" s="1"/>
  <c r="I15" i="2" s="1"/>
  <c r="I12" i="2"/>
  <c r="D9" i="1"/>
  <c r="H16" i="1"/>
  <c r="E29" i="1"/>
  <c r="E24" i="1"/>
  <c r="E19" i="1"/>
  <c r="D29" i="1"/>
  <c r="D24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2" i="1"/>
  <c r="B29" i="1"/>
  <c r="K7" i="2" l="1"/>
  <c r="K5" i="2"/>
  <c r="K38" i="2"/>
  <c r="K35" i="2"/>
  <c r="K4" i="2"/>
  <c r="I31" i="2"/>
  <c r="K20" i="2" s="1"/>
  <c r="L20" i="2" s="1"/>
  <c r="K6" i="2"/>
  <c r="K37" i="2"/>
  <c r="I45" i="2"/>
  <c r="L39" i="2" s="1"/>
  <c r="I29" i="2"/>
  <c r="F5" i="2"/>
  <c r="K2" i="2"/>
  <c r="F3" i="2"/>
  <c r="I13" i="2"/>
  <c r="E3" i="2"/>
  <c r="F4" i="2"/>
  <c r="E2" i="2"/>
  <c r="A10" i="1"/>
  <c r="C24" i="1"/>
  <c r="M34" i="1" s="1"/>
  <c r="C29" i="1"/>
  <c r="B24" i="1"/>
  <c r="K34" i="1"/>
  <c r="L34" i="1"/>
  <c r="C19" i="1"/>
  <c r="M3" i="1" s="1"/>
  <c r="K28" i="1" s="1"/>
  <c r="B19" i="1"/>
  <c r="L3" i="1"/>
  <c r="J34" i="1"/>
  <c r="H46" i="1" s="1"/>
  <c r="H34" i="1"/>
  <c r="I34" i="1"/>
  <c r="I3" i="1"/>
  <c r="M20" i="2" l="1"/>
  <c r="O20" i="2" s="1"/>
  <c r="P20" i="2" s="1"/>
  <c r="N20" i="2"/>
  <c r="Q20" i="2" s="1"/>
  <c r="M39" i="2"/>
  <c r="O39" i="2" s="1"/>
  <c r="P39" i="2" s="1"/>
  <c r="N39" i="2"/>
  <c r="Q39" i="2" s="1"/>
  <c r="L36" i="2"/>
  <c r="L21" i="2"/>
  <c r="L4" i="2"/>
  <c r="L7" i="2"/>
  <c r="L37" i="2"/>
  <c r="L34" i="2"/>
  <c r="L38" i="2"/>
  <c r="K23" i="2"/>
  <c r="L23" i="2" s="1"/>
  <c r="K22" i="2"/>
  <c r="L22" i="2" s="1"/>
  <c r="K18" i="2"/>
  <c r="L18" i="2" s="1"/>
  <c r="L2" i="2"/>
  <c r="N2" i="2" s="1"/>
  <c r="Q2" i="2" s="1"/>
  <c r="L6" i="2"/>
  <c r="L5" i="2"/>
  <c r="K21" i="2"/>
  <c r="K19" i="2"/>
  <c r="L19" i="2" s="1"/>
  <c r="L35" i="2"/>
  <c r="L8" i="2"/>
  <c r="L3" i="2"/>
  <c r="M2" i="2"/>
  <c r="O2" i="2" s="1"/>
  <c r="P2" i="2" s="1"/>
  <c r="H58" i="1"/>
  <c r="K37" i="1"/>
  <c r="L37" i="1" s="1"/>
  <c r="M37" i="1" s="1"/>
  <c r="K46" i="1"/>
  <c r="L46" i="1" s="1"/>
  <c r="M46" i="1" s="1"/>
  <c r="H44" i="1"/>
  <c r="K49" i="1"/>
  <c r="L49" i="1" s="1"/>
  <c r="M49" i="1" s="1"/>
  <c r="H38" i="1"/>
  <c r="K50" i="1"/>
  <c r="L50" i="1" s="1"/>
  <c r="M50" i="1" s="1"/>
  <c r="K41" i="1"/>
  <c r="L41" i="1" s="1"/>
  <c r="M41" i="1" s="1"/>
  <c r="H56" i="1"/>
  <c r="K53" i="1"/>
  <c r="L53" i="1" s="1"/>
  <c r="M53" i="1" s="1"/>
  <c r="K44" i="1"/>
  <c r="L44" i="1" s="1"/>
  <c r="M44" i="1" s="1"/>
  <c r="K40" i="1"/>
  <c r="L40" i="1" s="1"/>
  <c r="M40" i="1" s="1"/>
  <c r="K38" i="1"/>
  <c r="L38" i="1" s="1"/>
  <c r="M38" i="1" s="1"/>
  <c r="H47" i="1"/>
  <c r="I47" i="1" s="1"/>
  <c r="J47" i="1" s="1"/>
  <c r="I56" i="1"/>
  <c r="J56" i="1" s="1"/>
  <c r="I44" i="1"/>
  <c r="J44" i="1" s="1"/>
  <c r="I58" i="1"/>
  <c r="J58" i="1" s="1"/>
  <c r="K19" i="1"/>
  <c r="K24" i="1"/>
  <c r="K15" i="1"/>
  <c r="K11" i="1"/>
  <c r="I46" i="1"/>
  <c r="J46" i="1" s="1"/>
  <c r="K3" i="1"/>
  <c r="L28" i="1" s="1"/>
  <c r="M28" i="1" s="1"/>
  <c r="H3" i="1"/>
  <c r="I38" i="1"/>
  <c r="J38" i="1" s="1"/>
  <c r="H39" i="1"/>
  <c r="I39" i="1" s="1"/>
  <c r="J39" i="1" s="1"/>
  <c r="H43" i="1"/>
  <c r="I43" i="1" s="1"/>
  <c r="J43" i="1" s="1"/>
  <c r="H55" i="1"/>
  <c r="I55" i="1" s="1"/>
  <c r="J55" i="1" s="1"/>
  <c r="H57" i="1"/>
  <c r="I57" i="1" s="1"/>
  <c r="J57" i="1" s="1"/>
  <c r="H59" i="1"/>
  <c r="I59" i="1" s="1"/>
  <c r="J59" i="1" s="1"/>
  <c r="H61" i="1"/>
  <c r="I61" i="1" s="1"/>
  <c r="J61" i="1" s="1"/>
  <c r="H49" i="1"/>
  <c r="I49" i="1" s="1"/>
  <c r="J49" i="1" s="1"/>
  <c r="H53" i="1"/>
  <c r="I53" i="1" s="1"/>
  <c r="J53" i="1" s="1"/>
  <c r="H42" i="1"/>
  <c r="I42" i="1" s="1"/>
  <c r="J42" i="1" s="1"/>
  <c r="K55" i="1"/>
  <c r="L55" i="1" s="1"/>
  <c r="M55" i="1" s="1"/>
  <c r="K59" i="1"/>
  <c r="L59" i="1" s="1"/>
  <c r="M59" i="1" s="1"/>
  <c r="K58" i="1"/>
  <c r="L58" i="1" s="1"/>
  <c r="M58" i="1" s="1"/>
  <c r="K62" i="1"/>
  <c r="L62" i="1" s="1"/>
  <c r="M62" i="1" s="1"/>
  <c r="K57" i="1"/>
  <c r="L57" i="1" s="1"/>
  <c r="M57" i="1" s="1"/>
  <c r="K61" i="1"/>
  <c r="L61" i="1" s="1"/>
  <c r="M61" i="1" s="1"/>
  <c r="K56" i="1"/>
  <c r="L56" i="1" s="1"/>
  <c r="M56" i="1" s="1"/>
  <c r="H60" i="1"/>
  <c r="I60" i="1" s="1"/>
  <c r="J60" i="1" s="1"/>
  <c r="J3" i="1"/>
  <c r="H41" i="1"/>
  <c r="I41" i="1" s="1"/>
  <c r="J41" i="1" s="1"/>
  <c r="H51" i="1"/>
  <c r="I51" i="1" s="1"/>
  <c r="J51" i="1" s="1"/>
  <c r="K18" i="1"/>
  <c r="K22" i="1"/>
  <c r="K27" i="1"/>
  <c r="K31" i="1"/>
  <c r="K10" i="1"/>
  <c r="K6" i="1"/>
  <c r="K26" i="1"/>
  <c r="K30" i="1"/>
  <c r="K9" i="1"/>
  <c r="K12" i="1"/>
  <c r="K25" i="1"/>
  <c r="K29" i="1"/>
  <c r="K8" i="1"/>
  <c r="K52" i="1"/>
  <c r="L52" i="1" s="1"/>
  <c r="M52" i="1" s="1"/>
  <c r="K48" i="1"/>
  <c r="L48" i="1" s="1"/>
  <c r="M48" i="1" s="1"/>
  <c r="K43" i="1"/>
  <c r="L43" i="1" s="1"/>
  <c r="M43" i="1" s="1"/>
  <c r="K39" i="1"/>
  <c r="L39" i="1" s="1"/>
  <c r="M39" i="1" s="1"/>
  <c r="H62" i="1"/>
  <c r="I62" i="1" s="1"/>
  <c r="J62" i="1" s="1"/>
  <c r="H37" i="1"/>
  <c r="I37" i="1" s="1"/>
  <c r="J37" i="1" s="1"/>
  <c r="H40" i="1"/>
  <c r="I40" i="1" s="1"/>
  <c r="J40" i="1" s="1"/>
  <c r="H50" i="1"/>
  <c r="I50" i="1" s="1"/>
  <c r="J50" i="1" s="1"/>
  <c r="K7" i="1"/>
  <c r="K60" i="1"/>
  <c r="L60" i="1" s="1"/>
  <c r="M60" i="1" s="1"/>
  <c r="K51" i="1"/>
  <c r="L51" i="1" s="1"/>
  <c r="M51" i="1" s="1"/>
  <c r="K47" i="1"/>
  <c r="L47" i="1" s="1"/>
  <c r="M47" i="1" s="1"/>
  <c r="K42" i="1"/>
  <c r="L42" i="1" s="1"/>
  <c r="M42" i="1" s="1"/>
  <c r="K20" i="1"/>
  <c r="K16" i="1"/>
  <c r="H52" i="1"/>
  <c r="I52" i="1" s="1"/>
  <c r="J52" i="1" s="1"/>
  <c r="H48" i="1"/>
  <c r="I48" i="1" s="1"/>
  <c r="J48" i="1" s="1"/>
  <c r="K13" i="1"/>
  <c r="K21" i="1"/>
  <c r="K17" i="1"/>
  <c r="M18" i="2" l="1"/>
  <c r="O18" i="2" s="1"/>
  <c r="P18" i="2" s="1"/>
  <c r="N18" i="2"/>
  <c r="Q18" i="2" s="1"/>
  <c r="N22" i="2"/>
  <c r="Q22" i="2" s="1"/>
  <c r="M22" i="2"/>
  <c r="O22" i="2" s="1"/>
  <c r="P22" i="2" s="1"/>
  <c r="N34" i="2"/>
  <c r="Q34" i="2" s="1"/>
  <c r="M34" i="2"/>
  <c r="O34" i="2" s="1"/>
  <c r="P34" i="2" s="1"/>
  <c r="N35" i="2"/>
  <c r="Q35" i="2" s="1"/>
  <c r="M35" i="2"/>
  <c r="O35" i="2" s="1"/>
  <c r="P35" i="2" s="1"/>
  <c r="M21" i="2"/>
  <c r="O21" i="2" s="1"/>
  <c r="P21" i="2" s="1"/>
  <c r="N21" i="2"/>
  <c r="Q21" i="2" s="1"/>
  <c r="M19" i="2"/>
  <c r="O19" i="2" s="1"/>
  <c r="P19" i="2" s="1"/>
  <c r="N19" i="2"/>
  <c r="Q19" i="2" s="1"/>
  <c r="N23" i="2"/>
  <c r="Q23" i="2" s="1"/>
  <c r="M23" i="2"/>
  <c r="O23" i="2" s="1"/>
  <c r="P23" i="2" s="1"/>
  <c r="M7" i="2"/>
  <c r="O7" i="2" s="1"/>
  <c r="P7" i="2" s="1"/>
  <c r="N7" i="2"/>
  <c r="Q7" i="2" s="1"/>
  <c r="M8" i="2"/>
  <c r="O8" i="2" s="1"/>
  <c r="P8" i="2" s="1"/>
  <c r="N8" i="2"/>
  <c r="Q8" i="2" s="1"/>
  <c r="M5" i="2"/>
  <c r="O5" i="2" s="1"/>
  <c r="P5" i="2" s="1"/>
  <c r="N5" i="2"/>
  <c r="Q5" i="2" s="1"/>
  <c r="N6" i="2"/>
  <c r="Q6" i="2" s="1"/>
  <c r="M6" i="2"/>
  <c r="O6" i="2" s="1"/>
  <c r="P6" i="2" s="1"/>
  <c r="M37" i="2"/>
  <c r="O37" i="2" s="1"/>
  <c r="P37" i="2" s="1"/>
  <c r="N37" i="2"/>
  <c r="Q37" i="2" s="1"/>
  <c r="N3" i="2"/>
  <c r="Q3" i="2" s="1"/>
  <c r="M3" i="2"/>
  <c r="O3" i="2" s="1"/>
  <c r="P3" i="2" s="1"/>
  <c r="N38" i="2"/>
  <c r="Q38" i="2" s="1"/>
  <c r="M38" i="2"/>
  <c r="O38" i="2" s="1"/>
  <c r="P38" i="2" s="1"/>
  <c r="M4" i="2"/>
  <c r="O4" i="2" s="1"/>
  <c r="P4" i="2" s="1"/>
  <c r="N4" i="2"/>
  <c r="Q4" i="2" s="1"/>
  <c r="N36" i="2"/>
  <c r="Q36" i="2" s="1"/>
  <c r="M36" i="2"/>
  <c r="O36" i="2" s="1"/>
  <c r="P36" i="2" s="1"/>
  <c r="H20" i="1"/>
  <c r="L16" i="1"/>
  <c r="M16" i="1" s="1"/>
  <c r="L30" i="1"/>
  <c r="M30" i="1" s="1"/>
  <c r="L31" i="1"/>
  <c r="M31" i="1" s="1"/>
  <c r="L20" i="1"/>
  <c r="M20" i="1" s="1"/>
  <c r="L25" i="1"/>
  <c r="M25" i="1" s="1"/>
  <c r="L26" i="1"/>
  <c r="M26" i="1" s="1"/>
  <c r="L27" i="1"/>
  <c r="M27" i="1" s="1"/>
  <c r="L15" i="1"/>
  <c r="M15" i="1" s="1"/>
  <c r="L29" i="1"/>
  <c r="M29" i="1" s="1"/>
  <c r="L17" i="1"/>
  <c r="M17" i="1" s="1"/>
  <c r="L11" i="1"/>
  <c r="M11" i="1" s="1"/>
  <c r="L21" i="1"/>
  <c r="M21" i="1" s="1"/>
  <c r="I16" i="1"/>
  <c r="J16" i="1" s="1"/>
  <c r="L7" i="1"/>
  <c r="M7" i="1" s="1"/>
  <c r="L12" i="1"/>
  <c r="M12" i="1" s="1"/>
  <c r="L6" i="1"/>
  <c r="M6" i="1" s="1"/>
  <c r="L22" i="1"/>
  <c r="M22" i="1" s="1"/>
  <c r="L24" i="1"/>
  <c r="M24" i="1" s="1"/>
  <c r="L13" i="1"/>
  <c r="M13" i="1" s="1"/>
  <c r="I20" i="1"/>
  <c r="J20" i="1" s="1"/>
  <c r="L8" i="1"/>
  <c r="M8" i="1" s="1"/>
  <c r="L9" i="1"/>
  <c r="M9" i="1" s="1"/>
  <c r="L10" i="1"/>
  <c r="M10" i="1" s="1"/>
  <c r="L18" i="1"/>
  <c r="M18" i="1" s="1"/>
  <c r="L19" i="1"/>
  <c r="M19" i="1" s="1"/>
  <c r="H7" i="1"/>
  <c r="I7" i="1" s="1"/>
  <c r="J7" i="1" s="1"/>
  <c r="H11" i="1"/>
  <c r="I11" i="1" s="1"/>
  <c r="J11" i="1" s="1"/>
  <c r="H24" i="1"/>
  <c r="I24" i="1" s="1"/>
  <c r="J24" i="1" s="1"/>
  <c r="H28" i="1"/>
  <c r="I28" i="1" s="1"/>
  <c r="J28" i="1" s="1"/>
  <c r="H10" i="1"/>
  <c r="I10" i="1" s="1"/>
  <c r="J10" i="1" s="1"/>
  <c r="H17" i="1"/>
  <c r="I17" i="1" s="1"/>
  <c r="H22" i="1"/>
  <c r="I22" i="1" s="1"/>
  <c r="J22" i="1" s="1"/>
  <c r="H26" i="1"/>
  <c r="I26" i="1" s="1"/>
  <c r="J26" i="1" s="1"/>
  <c r="H12" i="1"/>
  <c r="I12" i="1" s="1"/>
  <c r="J12" i="1" s="1"/>
  <c r="H18" i="1"/>
  <c r="I18" i="1" s="1"/>
  <c r="J18" i="1" s="1"/>
  <c r="H15" i="1"/>
  <c r="I15" i="1" s="1"/>
  <c r="J15" i="1" s="1"/>
  <c r="H30" i="1"/>
  <c r="I30" i="1" s="1"/>
  <c r="J30" i="1" s="1"/>
  <c r="H13" i="1"/>
  <c r="I13" i="1" s="1"/>
  <c r="J13" i="1" s="1"/>
  <c r="H19" i="1"/>
  <c r="I19" i="1" s="1"/>
  <c r="J19" i="1" s="1"/>
  <c r="H8" i="1"/>
  <c r="I8" i="1" s="1"/>
  <c r="J8" i="1" s="1"/>
  <c r="H6" i="1"/>
  <c r="I6" i="1" s="1"/>
  <c r="J6" i="1" s="1"/>
  <c r="H25" i="1"/>
  <c r="I25" i="1" s="1"/>
  <c r="J25" i="1" s="1"/>
  <c r="H29" i="1"/>
  <c r="I29" i="1" s="1"/>
  <c r="J29" i="1" s="1"/>
  <c r="H27" i="1"/>
  <c r="I27" i="1" s="1"/>
  <c r="J27" i="1" s="1"/>
  <c r="H31" i="1"/>
  <c r="I31" i="1" s="1"/>
  <c r="J31" i="1" s="1"/>
  <c r="H21" i="1"/>
  <c r="I21" i="1" s="1"/>
  <c r="J21" i="1" s="1"/>
  <c r="H9" i="1"/>
  <c r="I9" i="1" s="1"/>
  <c r="J9" i="1" s="1"/>
  <c r="J17" i="1" l="1"/>
  <c r="A41" i="1"/>
  <c r="A42" i="1" l="1"/>
  <c r="A45" i="1" s="1"/>
  <c r="A43" i="1"/>
  <c r="A44" i="1" s="1"/>
</calcChain>
</file>

<file path=xl/sharedStrings.xml><?xml version="1.0" encoding="utf-8"?>
<sst xmlns="http://schemas.openxmlformats.org/spreadsheetml/2006/main" count="139" uniqueCount="64">
  <si>
    <t>(L LOAD)</t>
    <phoneticPr fontId="1" type="noConversion"/>
  </si>
  <si>
    <t>(R LOAD)</t>
    <phoneticPr fontId="1" type="noConversion"/>
  </si>
  <si>
    <t>(C LOAD)</t>
    <phoneticPr fontId="1" type="noConversion"/>
  </si>
  <si>
    <t>10-50 Impedance</t>
    <phoneticPr fontId="1" type="noConversion"/>
  </si>
  <si>
    <t>25-50 Impedance</t>
    <phoneticPr fontId="1" type="noConversion"/>
  </si>
  <si>
    <t>L (H)</t>
    <phoneticPr fontId="1" type="noConversion"/>
  </si>
  <si>
    <t>C (F)</t>
    <phoneticPr fontId="1" type="noConversion"/>
  </si>
  <si>
    <r>
      <t>NOTE: All calculations are done as though f</t>
    </r>
    <r>
      <rPr>
        <i/>
        <sz val="12"/>
        <rFont val="Verdana"/>
        <family val="2"/>
      </rPr>
      <t xml:space="preserve"> = 60hz</t>
    </r>
    <phoneticPr fontId="1" type="noConversion"/>
  </si>
  <si>
    <t>NOTE: In each case, Z1 || Z2 + Z3 is taken to be accurate under assumption of phase locked generation.</t>
    <phoneticPr fontId="1" type="noConversion"/>
  </si>
  <si>
    <t>Parellel Comp (Z3 || Load Box)</t>
    <phoneticPr fontId="1" type="noConversion"/>
  </si>
  <si>
    <t>L</t>
    <phoneticPr fontId="1" type="noConversion"/>
  </si>
  <si>
    <t>C</t>
    <phoneticPr fontId="1" type="noConversion"/>
  </si>
  <si>
    <t>R</t>
    <phoneticPr fontId="1" type="noConversion"/>
  </si>
  <si>
    <t>X_C</t>
    <phoneticPr fontId="1" type="noConversion"/>
  </si>
  <si>
    <t>10 Mile Transmission Line Structure</t>
    <phoneticPr fontId="1" type="noConversion"/>
  </si>
  <si>
    <t>Line Stats:</t>
    <phoneticPr fontId="1" type="noConversion"/>
  </si>
  <si>
    <t>R (ohm)</t>
    <phoneticPr fontId="1" type="noConversion"/>
  </si>
  <si>
    <t>Z_RL</t>
    <phoneticPr fontId="1" type="noConversion"/>
  </si>
  <si>
    <t>Z_C</t>
    <phoneticPr fontId="1" type="noConversion"/>
  </si>
  <si>
    <t>Z1</t>
    <phoneticPr fontId="1" type="noConversion"/>
  </si>
  <si>
    <t>Z2</t>
    <phoneticPr fontId="1" type="noConversion"/>
  </si>
  <si>
    <t>Z3</t>
    <phoneticPr fontId="1" type="noConversion"/>
  </si>
  <si>
    <t>25 Mile Transmission Line Structure</t>
    <phoneticPr fontId="1" type="noConversion"/>
  </si>
  <si>
    <t>50 Mile Transmission Line Structure</t>
    <phoneticPr fontId="1" type="noConversion"/>
  </si>
  <si>
    <t>Z_Tot</t>
    <phoneticPr fontId="1" type="noConversion"/>
  </si>
  <si>
    <t>10-25 Impedance</t>
    <phoneticPr fontId="1" type="noConversion"/>
  </si>
  <si>
    <t>25-25 Impedance</t>
    <phoneticPr fontId="1" type="noConversion"/>
  </si>
  <si>
    <t>X_L</t>
    <phoneticPr fontId="1" type="noConversion"/>
  </si>
  <si>
    <t>Ø ANGLE</t>
    <phoneticPr fontId="1" type="noConversion"/>
  </si>
  <si>
    <t xml:space="preserve">m  </t>
  </si>
  <si>
    <t>Load</t>
  </si>
  <si>
    <t>R1</t>
  </si>
  <si>
    <t>R2</t>
  </si>
  <si>
    <t>C1</t>
  </si>
  <si>
    <t>C2</t>
  </si>
  <si>
    <t>L1</t>
  </si>
  <si>
    <t>L2</t>
  </si>
  <si>
    <t>Z1</t>
  </si>
  <si>
    <t>Z2</t>
  </si>
  <si>
    <t>Z3</t>
  </si>
  <si>
    <t>C_eq</t>
  </si>
  <si>
    <t>Z4</t>
  </si>
  <si>
    <t>V_mag</t>
  </si>
  <si>
    <t>I1_mag</t>
  </si>
  <si>
    <t>V1_mag</t>
  </si>
  <si>
    <t>I1_phase</t>
  </si>
  <si>
    <t>L</t>
  </si>
  <si>
    <t>V_divider</t>
  </si>
  <si>
    <t>V1_phase</t>
  </si>
  <si>
    <t>Load Magnitude</t>
  </si>
  <si>
    <t>Load Phase</t>
  </si>
  <si>
    <t>Z_eqCap</t>
  </si>
  <si>
    <t>S1, S8</t>
  </si>
  <si>
    <t>S1, S4, S6, S8</t>
  </si>
  <si>
    <t>S1, S5, S6, S7, S8</t>
  </si>
  <si>
    <t>S1, S4, S7, S8</t>
  </si>
  <si>
    <t>S1, S2, S3, S4, S5, S8</t>
  </si>
  <si>
    <t>S1, S2, S4, S5, S6, S8</t>
  </si>
  <si>
    <t>Transmission Line (10-25)</t>
  </si>
  <si>
    <t>Transmission Line (25-50)</t>
  </si>
  <si>
    <t>Switch Config</t>
  </si>
  <si>
    <t>Transmission Line (10-50)</t>
  </si>
  <si>
    <t>Test with both generators</t>
  </si>
  <si>
    <t>Test with only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</si>
</sst>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0E+00"/>
    <numFmt numFmtId="166" formatCode="0.00;[Red]0.00"/>
    <numFmt numFmtId="167" formatCode="#,##0.000;[Red]#,##0.000"/>
  </numFmts>
  <fonts count="6" x14ac:knownFonts="1">
    <font>
      <sz val="10"/>
      <name val="Verdana"/>
    </font>
    <font>
      <sz val="8"/>
      <name val="Verdana"/>
      <family val="2"/>
    </font>
    <font>
      <sz val="12"/>
      <name val="Verdana"/>
      <family val="2"/>
    </font>
    <font>
      <i/>
      <sz val="12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8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2" fillId="0" borderId="0" xfId="0" applyNumberFormat="1" applyFont="1"/>
    <xf numFmtId="164" fontId="2" fillId="2" borderId="0" xfId="0" applyNumberFormat="1" applyFont="1" applyFill="1"/>
    <xf numFmtId="167" fontId="2" fillId="3" borderId="0" xfId="0" applyNumberFormat="1" applyFont="1" applyFill="1"/>
    <xf numFmtId="166" fontId="2" fillId="4" borderId="0" xfId="0" applyNumberFormat="1" applyFont="1" applyFill="1"/>
    <xf numFmtId="164" fontId="2" fillId="5" borderId="0" xfId="0" applyNumberFormat="1" applyFont="1" applyFill="1"/>
    <xf numFmtId="165" fontId="2" fillId="5" borderId="0" xfId="0" applyNumberFormat="1" applyFont="1" applyFill="1"/>
    <xf numFmtId="166" fontId="2" fillId="5" borderId="0" xfId="0" applyNumberFormat="1" applyFont="1" applyFill="1"/>
    <xf numFmtId="164" fontId="2" fillId="6" borderId="0" xfId="0" applyNumberFormat="1" applyFont="1" applyFill="1"/>
    <xf numFmtId="167" fontId="2" fillId="5" borderId="0" xfId="0" applyNumberFormat="1" applyFont="1" applyFill="1"/>
    <xf numFmtId="164" fontId="2" fillId="8" borderId="0" xfId="0" applyNumberFormat="1" applyFont="1" applyFill="1"/>
    <xf numFmtId="164" fontId="2" fillId="7" borderId="0" xfId="0" applyNumberFormat="1" applyFont="1" applyFill="1"/>
    <xf numFmtId="164" fontId="2" fillId="9" borderId="0" xfId="0" applyNumberFormat="1" applyFont="1" applyFill="1"/>
    <xf numFmtId="0" fontId="2" fillId="0" borderId="0" xfId="0" applyNumberFormat="1" applyFont="1"/>
    <xf numFmtId="0" fontId="0" fillId="10" borderId="0" xfId="0" applyFill="1"/>
    <xf numFmtId="11" fontId="0" fillId="0" borderId="0" xfId="0" applyNumberFormat="1"/>
    <xf numFmtId="164" fontId="4" fillId="0" borderId="0" xfId="0" applyNumberFormat="1" applyFont="1" applyFill="1"/>
    <xf numFmtId="0" fontId="5" fillId="0" borderId="0" xfId="0" applyFont="1"/>
    <xf numFmtId="0" fontId="5" fillId="1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zoomScale="75" workbookViewId="0">
      <selection activeCell="B7" sqref="B7"/>
    </sheetView>
  </sheetViews>
  <sheetFormatPr baseColWidth="10" defaultColWidth="10.6640625" defaultRowHeight="16" x14ac:dyDescent="0.2"/>
  <cols>
    <col min="1" max="2" width="17" style="1" customWidth="1"/>
    <col min="3" max="3" width="18.5" style="1" bestFit="1" customWidth="1"/>
    <col min="4" max="5" width="25.1640625" style="1" customWidth="1"/>
    <col min="6" max="6" width="13" style="1" bestFit="1" customWidth="1"/>
    <col min="7" max="7" width="10.6640625" style="1"/>
    <col min="8" max="8" width="46.33203125" style="1" customWidth="1"/>
    <col min="9" max="9" width="45.33203125" style="1" customWidth="1"/>
    <col min="10" max="10" width="26" style="1" customWidth="1"/>
    <col min="11" max="11" width="46" style="1" customWidth="1"/>
    <col min="12" max="12" width="48" style="1" customWidth="1"/>
    <col min="13" max="13" width="24.33203125" style="1" customWidth="1"/>
    <col min="14" max="14" width="10.6640625" style="1" customWidth="1"/>
    <col min="15" max="16384" width="10.6640625" style="1"/>
  </cols>
  <sheetData>
    <row r="1" spans="1:13" x14ac:dyDescent="0.2">
      <c r="A1" s="5" t="s">
        <v>10</v>
      </c>
      <c r="B1" s="5" t="s">
        <v>11</v>
      </c>
      <c r="C1" s="5" t="s">
        <v>12</v>
      </c>
      <c r="D1" s="5" t="s">
        <v>27</v>
      </c>
      <c r="E1" s="5" t="s">
        <v>13</v>
      </c>
      <c r="H1" s="5" t="s">
        <v>25</v>
      </c>
      <c r="I1" s="5"/>
      <c r="J1" s="5"/>
      <c r="K1" s="5" t="s">
        <v>3</v>
      </c>
      <c r="L1" s="5"/>
      <c r="M1" s="5"/>
    </row>
    <row r="2" spans="1:13" x14ac:dyDescent="0.2">
      <c r="A2" s="11">
        <v>1.5E-3</v>
      </c>
      <c r="B2" s="11">
        <v>1.1250000000000001E-5</v>
      </c>
      <c r="C2" s="11">
        <v>1000</v>
      </c>
      <c r="D2" s="8" t="str">
        <f>COMPLEX(0,(60*A2*2*PI()))</f>
        <v>0.565486677646163i</v>
      </c>
      <c r="E2" s="8" t="str">
        <f>COMPLEX(0,-1/(60*B2*2*PI()))</f>
        <v>-235.785100876882i</v>
      </c>
      <c r="H2" s="6" t="s">
        <v>19</v>
      </c>
      <c r="I2" s="6" t="s">
        <v>20</v>
      </c>
      <c r="J2" s="6" t="s">
        <v>21</v>
      </c>
      <c r="K2" s="6" t="s">
        <v>19</v>
      </c>
      <c r="L2" s="6" t="s">
        <v>20</v>
      </c>
      <c r="M2" s="6" t="s">
        <v>21</v>
      </c>
    </row>
    <row r="3" spans="1:13" x14ac:dyDescent="0.2">
      <c r="A3" s="11">
        <v>3.3E-3</v>
      </c>
      <c r="B3" s="11">
        <v>2.2500000000000001E-5</v>
      </c>
      <c r="C3" s="11">
        <v>2000</v>
      </c>
      <c r="D3" s="8" t="str">
        <f t="shared" ref="D3:D8" si="0">COMPLEX(0,(60*A3*2*PI()))</f>
        <v>1.24407069082156i</v>
      </c>
      <c r="E3" s="8" t="str">
        <f t="shared" ref="E3:E9" si="1">COMPLEX(0,-1/(60*B3*2*PI()))</f>
        <v>-117.892550438441i</v>
      </c>
      <c r="H3" s="6" t="str">
        <f>$D$19</f>
        <v xml:space="preserve">m  </v>
      </c>
      <c r="I3" s="6" t="str">
        <f>$D$24</f>
        <v>2.8+12.5161051319017i</v>
      </c>
      <c r="J3" s="7" t="str">
        <f>IMDIV(IMPRODUCT($E$19,$E$24),IMSUM($E$19,$E$24))</f>
        <v>3444.91218813625i</v>
      </c>
      <c r="K3" s="6" t="str">
        <f>$D$19</f>
        <v xml:space="preserve">m  </v>
      </c>
      <c r="L3" s="6" t="str">
        <f>$D$29</f>
        <v>5.6+25.0699093756465i</v>
      </c>
      <c r="M3" s="7" t="str">
        <f>IMDIV(IMPRODUCT($E$19,$E$29),IMSUM($E$19,$E$29))</f>
        <v>2009.53210974615i</v>
      </c>
    </row>
    <row r="4" spans="1:13" x14ac:dyDescent="0.2">
      <c r="A4" s="11">
        <v>6.7999999999999996E-3</v>
      </c>
      <c r="B4" s="11">
        <v>4.5000000000000003E-5</v>
      </c>
      <c r="C4" s="11">
        <v>4000</v>
      </c>
      <c r="D4" s="8" t="str">
        <f t="shared" si="0"/>
        <v>2.56353960532927i</v>
      </c>
      <c r="E4" s="8" t="str">
        <f t="shared" si="1"/>
        <v>-58.9462752192205i</v>
      </c>
      <c r="H4" s="5" t="s">
        <v>9</v>
      </c>
      <c r="I4" s="5"/>
      <c r="J4" s="5"/>
      <c r="K4" s="5" t="s">
        <v>9</v>
      </c>
      <c r="L4" s="5"/>
      <c r="M4" s="5"/>
    </row>
    <row r="5" spans="1:13" x14ac:dyDescent="0.2">
      <c r="A5" s="11">
        <v>1.2E-2</v>
      </c>
      <c r="B5" s="11">
        <v>9.0000000000000006E-5</v>
      </c>
      <c r="C5" s="11">
        <v>8000</v>
      </c>
      <c r="D5" s="8" t="str">
        <f t="shared" si="0"/>
        <v>4.5238934211693i</v>
      </c>
      <c r="E5" s="8" t="str">
        <f t="shared" si="1"/>
        <v>-29.4731376096102i</v>
      </c>
      <c r="H5" s="6" t="s">
        <v>2</v>
      </c>
      <c r="I5" s="6" t="s">
        <v>24</v>
      </c>
      <c r="J5" s="6" t="s">
        <v>28</v>
      </c>
      <c r="K5" s="6" t="s">
        <v>2</v>
      </c>
      <c r="L5" s="6" t="s">
        <v>24</v>
      </c>
      <c r="M5" s="6" t="s">
        <v>28</v>
      </c>
    </row>
    <row r="6" spans="1:13" x14ac:dyDescent="0.2">
      <c r="A6" s="11">
        <v>2.4E-2</v>
      </c>
      <c r="B6" s="11">
        <v>1.8000000000000001E-4</v>
      </c>
      <c r="C6" s="11">
        <v>16000</v>
      </c>
      <c r="D6" s="8" t="str">
        <f t="shared" si="0"/>
        <v>9.0477868423386i</v>
      </c>
      <c r="E6" s="8" t="str">
        <f t="shared" si="1"/>
        <v>-14.7365688048051i</v>
      </c>
      <c r="H6" s="4" t="str">
        <f>IMDIV(IMPRODUCT(E2,$J$3),IMSUM(E2,$J$3))</f>
        <v>-253.109006189401i</v>
      </c>
      <c r="I6" s="2" t="e">
        <f t="shared" ref="I6:I13" si="2">IMSUM($H6,$H$3,$I$3)</f>
        <v>#NUM!</v>
      </c>
      <c r="J6" s="3" t="e">
        <f t="shared" ref="J6:J13" si="3">ATAN(IMAGINARY($I6)/IMREAL($I6))*180/PI()</f>
        <v>#NUM!</v>
      </c>
      <c r="K6" s="4" t="str">
        <f>IMDIV(IMPRODUCT(E2,$M$3),IMSUM(E2,$M$3))</f>
        <v>-267.128135434533i</v>
      </c>
      <c r="L6" s="2" t="e">
        <f>IMSUM($K6,$K$3,$L$3)</f>
        <v>#NUM!</v>
      </c>
      <c r="M6" s="3" t="e">
        <f>ATAN(IMAGINARY($L6)/IMREAL($L6))*180/PI()</f>
        <v>#NUM!</v>
      </c>
    </row>
    <row r="7" spans="1:13" x14ac:dyDescent="0.2">
      <c r="A7" s="11">
        <v>4.8000000000000001E-2</v>
      </c>
      <c r="B7" s="11">
        <v>3.6000000000000002E-4</v>
      </c>
      <c r="C7" s="11">
        <v>32000</v>
      </c>
      <c r="D7" s="8" t="str">
        <f t="shared" si="0"/>
        <v>18.0955736846772i</v>
      </c>
      <c r="E7" s="8" t="str">
        <f t="shared" si="1"/>
        <v>-7.36828440240256i</v>
      </c>
      <c r="H7" s="4" t="str">
        <f t="shared" ref="H7:H13" si="4">IMDIV(IMPRODUCT(E3,$J$3),IMSUM(E3,$J$3))</f>
        <v>-122.07005912862i</v>
      </c>
      <c r="I7" s="2" t="e">
        <f t="shared" si="2"/>
        <v>#NUM!</v>
      </c>
      <c r="J7" s="3" t="e">
        <f t="shared" si="3"/>
        <v>#NUM!</v>
      </c>
      <c r="K7" s="4" t="str">
        <f t="shared" ref="K7:K13" si="5">IMDIV(IMPRODUCT(E3,$M$3),IMSUM(E3,$M$3))</f>
        <v>-125.239961513925i</v>
      </c>
      <c r="L7" s="2" t="e">
        <f t="shared" ref="L7:L31" si="6">IMSUM($K7,$K$3,$L$3)</f>
        <v>#NUM!</v>
      </c>
      <c r="M7" s="3" t="e">
        <f t="shared" ref="M7:M31" si="7">ATAN(IMAGINARY($L7)/IMREAL($L7))*180/PI()</f>
        <v>#NUM!</v>
      </c>
    </row>
    <row r="8" spans="1:13" x14ac:dyDescent="0.2">
      <c r="A8" s="11">
        <v>9.6000000000000002E-2</v>
      </c>
      <c r="B8" s="11">
        <v>7.2000000000000005E-4</v>
      </c>
      <c r="C8" s="11">
        <v>64000</v>
      </c>
      <c r="D8" s="8" t="str">
        <f t="shared" si="0"/>
        <v>36.1911473693544i</v>
      </c>
      <c r="E8" s="8" t="str">
        <f t="shared" si="1"/>
        <v>-3.68414220120128i</v>
      </c>
      <c r="H8" s="4" t="str">
        <f t="shared" si="4"/>
        <v>-59.9724708312212i</v>
      </c>
      <c r="I8" s="2" t="e">
        <f t="shared" si="2"/>
        <v>#NUM!</v>
      </c>
      <c r="J8" s="3" t="e">
        <f t="shared" si="3"/>
        <v>#NUM!</v>
      </c>
      <c r="K8" s="4" t="str">
        <f t="shared" si="5"/>
        <v>-60.7276187011198i</v>
      </c>
      <c r="L8" s="2" t="e">
        <f t="shared" si="6"/>
        <v>#NUM!</v>
      </c>
      <c r="M8" s="3" t="e">
        <f t="shared" si="7"/>
        <v>#NUM!</v>
      </c>
    </row>
    <row r="9" spans="1:13" x14ac:dyDescent="0.2">
      <c r="A9" s="11">
        <v>0.192</v>
      </c>
      <c r="B9" s="11">
        <v>1.4400000000000001E-3</v>
      </c>
      <c r="C9" s="11">
        <v>128000</v>
      </c>
      <c r="D9" s="8" t="str">
        <f>COMPLEX(0,(600*A9*2*PI()))</f>
        <v>723.822947387088i</v>
      </c>
      <c r="E9" s="8" t="str">
        <f t="shared" si="1"/>
        <v>-1.84207110060064i</v>
      </c>
      <c r="H9" s="4" t="str">
        <f t="shared" si="4"/>
        <v>-29.7274726534228i</v>
      </c>
      <c r="I9" s="2" t="e">
        <f t="shared" si="2"/>
        <v>#NUM!</v>
      </c>
      <c r="J9" s="3" t="e">
        <f t="shared" si="3"/>
        <v>#NUM!</v>
      </c>
      <c r="K9" s="4" t="str">
        <f t="shared" si="5"/>
        <v>-29.9118446646924i</v>
      </c>
      <c r="L9" s="2" t="e">
        <f t="shared" si="6"/>
        <v>#NUM!</v>
      </c>
      <c r="M9" s="3" t="e">
        <f t="shared" si="7"/>
        <v>#NUM!</v>
      </c>
    </row>
    <row r="10" spans="1:13" x14ac:dyDescent="0.2">
      <c r="A10" s="1">
        <f>A2+A3+A4+A5+A6+A7+A8+A9</f>
        <v>0.3836</v>
      </c>
      <c r="H10" s="4" t="str">
        <f t="shared" si="4"/>
        <v>-14.7998794000163i</v>
      </c>
      <c r="I10" s="2" t="e">
        <f t="shared" si="2"/>
        <v>#NUM!</v>
      </c>
      <c r="J10" s="3" t="e">
        <f t="shared" si="3"/>
        <v>#NUM!</v>
      </c>
      <c r="K10" s="4" t="str">
        <f t="shared" si="5"/>
        <v>-14.8454353305626i</v>
      </c>
      <c r="L10" s="2" t="e">
        <f t="shared" si="6"/>
        <v>#NUM!</v>
      </c>
      <c r="M10" s="3" t="e">
        <f t="shared" si="7"/>
        <v>#NUM!</v>
      </c>
    </row>
    <row r="11" spans="1:13" x14ac:dyDescent="0.2">
      <c r="H11" s="4" t="str">
        <f t="shared" si="4"/>
        <v>-7.38407812505893i</v>
      </c>
      <c r="I11" s="2" t="e">
        <f t="shared" si="2"/>
        <v>#NUM!</v>
      </c>
      <c r="J11" s="3" t="e">
        <f t="shared" si="3"/>
        <v>#NUM!</v>
      </c>
      <c r="K11" s="4" t="str">
        <f t="shared" si="5"/>
        <v>-7.39540087226755i</v>
      </c>
      <c r="L11" s="2" t="e">
        <f t="shared" si="6"/>
        <v>#NUM!</v>
      </c>
      <c r="M11" s="3" t="e">
        <f t="shared" si="7"/>
        <v>#NUM!</v>
      </c>
    </row>
    <row r="12" spans="1:13" x14ac:dyDescent="0.2">
      <c r="H12" s="4" t="str">
        <f t="shared" si="4"/>
        <v>-3.68808640471743i</v>
      </c>
      <c r="I12" s="2" t="e">
        <f t="shared" si="2"/>
        <v>#NUM!</v>
      </c>
      <c r="J12" s="3" t="e">
        <f t="shared" si="3"/>
        <v>#NUM!</v>
      </c>
      <c r="K12" s="4" t="str">
        <f t="shared" si="5"/>
        <v>-3.69090886745828i</v>
      </c>
      <c r="L12" s="2" t="e">
        <f t="shared" si="6"/>
        <v>#NUM!</v>
      </c>
      <c r="M12" s="3" t="e">
        <f t="shared" si="7"/>
        <v>#NUM!</v>
      </c>
    </row>
    <row r="13" spans="1:13" x14ac:dyDescent="0.2">
      <c r="H13" s="4" t="str">
        <f t="shared" si="4"/>
        <v>-1.84305662393427i</v>
      </c>
      <c r="I13" s="2" t="e">
        <f t="shared" si="2"/>
        <v>#NUM!</v>
      </c>
      <c r="J13" s="3" t="e">
        <f t="shared" si="3"/>
        <v>#NUM!</v>
      </c>
      <c r="K13" s="4" t="str">
        <f t="shared" si="5"/>
        <v>-1.84376121504777i</v>
      </c>
      <c r="L13" s="2" t="e">
        <f t="shared" si="6"/>
        <v>#NUM!</v>
      </c>
      <c r="M13" s="3" t="e">
        <f t="shared" si="7"/>
        <v>#NUM!</v>
      </c>
    </row>
    <row r="14" spans="1:13" x14ac:dyDescent="0.2">
      <c r="A14" s="10" t="s">
        <v>7</v>
      </c>
      <c r="B14" s="10"/>
      <c r="C14" s="10"/>
      <c r="D14" s="10"/>
      <c r="E14" s="10"/>
      <c r="F14" s="10"/>
      <c r="G14" s="10"/>
      <c r="H14" s="5" t="s">
        <v>0</v>
      </c>
      <c r="I14" s="5"/>
      <c r="J14" s="9"/>
      <c r="K14" s="5" t="s">
        <v>0</v>
      </c>
      <c r="L14" s="5"/>
      <c r="M14" s="9"/>
    </row>
    <row r="15" spans="1:13" x14ac:dyDescent="0.2">
      <c r="A15" s="10" t="s">
        <v>8</v>
      </c>
      <c r="B15" s="10"/>
      <c r="C15" s="10"/>
      <c r="D15" s="10"/>
      <c r="E15" s="10"/>
      <c r="F15" s="10"/>
      <c r="G15" s="10"/>
      <c r="H15" s="4" t="str">
        <f>IMDIV(IMPRODUCT(D2,$J$3),IMSUM(D2,$J$3))</f>
        <v>0.565393867530185i</v>
      </c>
      <c r="I15" s="2" t="e">
        <f t="shared" ref="I15:I22" si="8">IMSUM($H15,$H$3,$I$3)</f>
        <v>#NUM!</v>
      </c>
      <c r="J15" s="3" t="e">
        <f t="shared" ref="J15:J22" si="9">ATAN(IMAGINARY($I15)/IMREAL($I15))*180/PI()</f>
        <v>#NUM!</v>
      </c>
      <c r="K15" s="4" t="str">
        <f>IMDIV(IMPRODUCT(D2,$M$3),IMSUM(D2,$M$3))</f>
        <v>0.565327593239927i</v>
      </c>
      <c r="L15" s="2" t="e">
        <f t="shared" si="6"/>
        <v>#NUM!</v>
      </c>
      <c r="M15" s="3" t="e">
        <f t="shared" si="7"/>
        <v>#NUM!</v>
      </c>
    </row>
    <row r="16" spans="1:13" x14ac:dyDescent="0.2">
      <c r="A16" s="12" t="s">
        <v>14</v>
      </c>
      <c r="B16" s="12"/>
      <c r="C16" s="12"/>
      <c r="D16" s="12"/>
      <c r="E16" s="12"/>
      <c r="H16" s="4" t="str">
        <f t="shared" ref="H16:H22" si="10">IMDIV(IMPRODUCT(D3,$J$3),IMSUM(D3,$J$3))</f>
        <v>1.24362157831258i</v>
      </c>
      <c r="I16" s="2" t="e">
        <f t="shared" si="8"/>
        <v>#NUM!</v>
      </c>
      <c r="J16" s="3" t="e">
        <f t="shared" si="9"/>
        <v>#NUM!</v>
      </c>
      <c r="K16" s="4" t="str">
        <f t="shared" ref="K16:K22" si="11">IMDIV(IMPRODUCT(D3,$M$3),IMSUM(D3,$M$3))</f>
        <v>1.2433009821395i</v>
      </c>
      <c r="L16" s="2" t="e">
        <f t="shared" si="6"/>
        <v>#NUM!</v>
      </c>
      <c r="M16" s="3" t="e">
        <f t="shared" si="7"/>
        <v>#NUM!</v>
      </c>
    </row>
    <row r="17" spans="1:13" x14ac:dyDescent="0.2">
      <c r="A17" s="12" t="s">
        <v>15</v>
      </c>
      <c r="B17" s="12"/>
      <c r="C17" s="12"/>
      <c r="D17" s="12"/>
      <c r="E17" s="12"/>
      <c r="H17" s="4" t="str">
        <f t="shared" si="10"/>
        <v>2.56163335976669i</v>
      </c>
      <c r="I17" s="2" t="e">
        <f t="shared" si="8"/>
        <v>#NUM!</v>
      </c>
      <c r="J17" s="3" t="e">
        <f t="shared" si="9"/>
        <v>#NUM!</v>
      </c>
      <c r="K17" s="4" t="str">
        <f t="shared" si="11"/>
        <v>2.56027349056469i</v>
      </c>
      <c r="L17" s="2" t="e">
        <f t="shared" si="6"/>
        <v>#NUM!</v>
      </c>
      <c r="M17" s="3" t="e">
        <f t="shared" si="7"/>
        <v>#NUM!</v>
      </c>
    </row>
    <row r="18" spans="1:13" x14ac:dyDescent="0.2">
      <c r="A18" s="12" t="s">
        <v>16</v>
      </c>
      <c r="B18" s="12" t="s">
        <v>5</v>
      </c>
      <c r="C18" s="12" t="s">
        <v>6</v>
      </c>
      <c r="D18" s="12" t="s">
        <v>17</v>
      </c>
      <c r="E18" s="12" t="s">
        <v>18</v>
      </c>
      <c r="H18" s="4" t="str">
        <f t="shared" si="10"/>
        <v>4.51796039002965i</v>
      </c>
      <c r="I18" s="2" t="e">
        <f t="shared" si="8"/>
        <v>#NUM!</v>
      </c>
      <c r="J18" s="3" t="e">
        <f t="shared" si="9"/>
        <v>#NUM!</v>
      </c>
      <c r="K18" s="4" t="str">
        <f t="shared" si="11"/>
        <v>4.51373202960227i</v>
      </c>
      <c r="L18" s="2" t="e">
        <f t="shared" si="6"/>
        <v>#NUM!</v>
      </c>
      <c r="M18" s="3" t="e">
        <f t="shared" si="7"/>
        <v>#NUM!</v>
      </c>
    </row>
    <row r="19" spans="1:13" x14ac:dyDescent="0.2">
      <c r="A19" s="8">
        <v>1.1000000000000001</v>
      </c>
      <c r="B19" s="8">
        <f>13.3*10^-3</f>
        <v>1.3300000000000001E-2</v>
      </c>
      <c r="C19" s="8">
        <f>220*10^-9</f>
        <v>2.2000000000000001E-7</v>
      </c>
      <c r="D19" s="8" t="s">
        <v>29</v>
      </c>
      <c r="E19" s="8" t="str">
        <f>COMPLEX(0,(1/(60*C19*2*PI())))</f>
        <v>12057.1926584769i</v>
      </c>
      <c r="H19" s="4" t="str">
        <f t="shared" si="10"/>
        <v>9.0240858014066i</v>
      </c>
      <c r="I19" s="2" t="e">
        <f t="shared" si="8"/>
        <v>#NUM!</v>
      </c>
      <c r="J19" s="3" t="e">
        <f t="shared" si="9"/>
        <v>#NUM!</v>
      </c>
      <c r="K19" s="4" t="str">
        <f t="shared" si="11"/>
        <v>9.00723236793667i</v>
      </c>
      <c r="L19" s="2" t="e">
        <f t="shared" si="6"/>
        <v>#NUM!</v>
      </c>
      <c r="M19" s="3" t="e">
        <f t="shared" si="7"/>
        <v>#NUM!</v>
      </c>
    </row>
    <row r="20" spans="1:13" x14ac:dyDescent="0.2">
      <c r="H20" s="4" t="str">
        <f t="shared" si="10"/>
        <v>18.0010172154172i</v>
      </c>
      <c r="I20" s="2" t="e">
        <f t="shared" si="8"/>
        <v>#NUM!</v>
      </c>
      <c r="J20" s="3" t="e">
        <f t="shared" si="9"/>
        <v>#NUM!</v>
      </c>
      <c r="K20" s="4" t="str">
        <f t="shared" si="11"/>
        <v>17.9340796443001i</v>
      </c>
      <c r="L20" s="2" t="e">
        <f t="shared" si="6"/>
        <v>#NUM!</v>
      </c>
      <c r="M20" s="3" t="e">
        <f t="shared" si="7"/>
        <v>#NUM!</v>
      </c>
    </row>
    <row r="21" spans="1:13" x14ac:dyDescent="0.2">
      <c r="A21" s="5" t="s">
        <v>22</v>
      </c>
      <c r="B21" s="5"/>
      <c r="C21" s="5"/>
      <c r="D21" s="5"/>
      <c r="E21" s="5"/>
      <c r="H21" s="4" t="str">
        <f t="shared" si="10"/>
        <v>35.8148875971865i</v>
      </c>
      <c r="I21" s="2" t="e">
        <f t="shared" si="8"/>
        <v>#NUM!</v>
      </c>
      <c r="J21" s="3" t="e">
        <f t="shared" si="9"/>
        <v>#NUM!</v>
      </c>
      <c r="K21" s="4" t="str">
        <f t="shared" si="11"/>
        <v>35.5508852305952i</v>
      </c>
      <c r="L21" s="2" t="e">
        <f t="shared" si="6"/>
        <v>#NUM!</v>
      </c>
      <c r="M21" s="3" t="e">
        <f t="shared" si="7"/>
        <v>#NUM!</v>
      </c>
    </row>
    <row r="22" spans="1:13" x14ac:dyDescent="0.2">
      <c r="A22" s="5" t="s">
        <v>15</v>
      </c>
      <c r="B22" s="5"/>
      <c r="C22" s="5"/>
      <c r="D22" s="5"/>
      <c r="E22" s="5"/>
      <c r="H22" s="4" t="str">
        <f t="shared" si="10"/>
        <v>598.144619997175i</v>
      </c>
      <c r="I22" s="2" t="e">
        <f t="shared" si="8"/>
        <v>#NUM!</v>
      </c>
      <c r="J22" s="3" t="e">
        <f t="shared" si="9"/>
        <v>#NUM!</v>
      </c>
      <c r="K22" s="4" t="str">
        <f t="shared" si="11"/>
        <v>532.14654669525i</v>
      </c>
      <c r="L22" s="2" t="e">
        <f t="shared" si="6"/>
        <v>#NUM!</v>
      </c>
      <c r="M22" s="3" t="e">
        <f t="shared" si="7"/>
        <v>#NUM!</v>
      </c>
    </row>
    <row r="23" spans="1:13" x14ac:dyDescent="0.2">
      <c r="A23" s="5" t="s">
        <v>16</v>
      </c>
      <c r="B23" s="5" t="s">
        <v>5</v>
      </c>
      <c r="C23" s="5" t="s">
        <v>6</v>
      </c>
      <c r="D23" s="5" t="s">
        <v>17</v>
      </c>
      <c r="E23" s="5" t="s">
        <v>18</v>
      </c>
      <c r="H23" s="7" t="s">
        <v>1</v>
      </c>
      <c r="I23" s="5"/>
      <c r="J23" s="9"/>
      <c r="K23" s="7" t="s">
        <v>1</v>
      </c>
      <c r="L23" s="5"/>
      <c r="M23" s="9"/>
    </row>
    <row r="24" spans="1:13" x14ac:dyDescent="0.2">
      <c r="A24" s="8">
        <v>2.8</v>
      </c>
      <c r="B24" s="8">
        <f>33.2*10^-3</f>
        <v>3.32E-2</v>
      </c>
      <c r="C24" s="8">
        <f>550*10^-9</f>
        <v>5.5000000000000003E-7</v>
      </c>
      <c r="D24" s="8" t="str">
        <f>COMPLEX(A24,(60*B24*2*PI()))</f>
        <v>2.8+12.5161051319017i</v>
      </c>
      <c r="E24" s="8" t="str">
        <f>COMPLEX(0,(1/(60*C24*2*PI())))</f>
        <v>4822.87706339077i</v>
      </c>
      <c r="H24" s="4" t="str">
        <f t="shared" ref="H24:H31" si="12">IMDIV(IMPRODUCT(C2,$J$3),IMSUM(C2,$J$3))</f>
        <v>922.284342840616+267.723614557382i</v>
      </c>
      <c r="I24" s="2" t="e">
        <f t="shared" ref="I24:I31" si="13">IMSUM($H24,$H$3,$I$3)</f>
        <v>#NUM!</v>
      </c>
      <c r="J24" s="3" t="e">
        <f t="shared" ref="J24:J31" si="14">ATAN(IMAGINARY($I24)/IMREAL($I24))*180/PI()</f>
        <v>#NUM!</v>
      </c>
      <c r="K24" s="4" t="str">
        <f>IMDIV(IMPRODUCT(C2,$M$3),IMSUM(C2,$M$3))</f>
        <v>801.517174931232+398.857610208817i</v>
      </c>
      <c r="L24" s="2" t="e">
        <f t="shared" si="6"/>
        <v>#NUM!</v>
      </c>
      <c r="M24" s="3" t="e">
        <f t="shared" si="7"/>
        <v>#NUM!</v>
      </c>
    </row>
    <row r="25" spans="1:13" x14ac:dyDescent="0.2">
      <c r="H25" s="4" t="str">
        <f t="shared" si="12"/>
        <v>1495.82225666919+868.424026493665i</v>
      </c>
      <c r="I25" s="2" t="e">
        <f t="shared" si="13"/>
        <v>#NUM!</v>
      </c>
      <c r="J25" s="3" t="e">
        <f t="shared" si="14"/>
        <v>#NUM!</v>
      </c>
      <c r="K25" s="4" t="str">
        <f t="shared" ref="K25:K31" si="15">IMDIV(IMPRODUCT(C3,$M$3),IMSUM(C3,$M$3))</f>
        <v>1004.75469736193+999.988696362612i</v>
      </c>
      <c r="L25" s="2" t="e">
        <f t="shared" si="6"/>
        <v>#NUM!</v>
      </c>
      <c r="M25" s="3" t="e">
        <f t="shared" si="7"/>
        <v>#NUM!</v>
      </c>
    </row>
    <row r="26" spans="1:13" x14ac:dyDescent="0.2">
      <c r="A26" s="5" t="s">
        <v>23</v>
      </c>
      <c r="B26" s="5"/>
      <c r="C26" s="5"/>
      <c r="D26" s="5"/>
      <c r="E26" s="5"/>
      <c r="H26" s="4" t="str">
        <f t="shared" si="12"/>
        <v>1703.4113657879+1977.88654428311i</v>
      </c>
      <c r="I26" s="2" t="e">
        <f t="shared" si="13"/>
        <v>#NUM!</v>
      </c>
      <c r="J26" s="3" t="e">
        <f t="shared" si="14"/>
        <v>#NUM!</v>
      </c>
      <c r="K26" s="4" t="str">
        <f t="shared" si="15"/>
        <v>806.103424585337+1604.55943087601i</v>
      </c>
      <c r="L26" s="2" t="e">
        <f t="shared" si="6"/>
        <v>#NUM!</v>
      </c>
      <c r="M26" s="3" t="e">
        <f t="shared" si="7"/>
        <v>#NUM!</v>
      </c>
    </row>
    <row r="27" spans="1:13" x14ac:dyDescent="0.2">
      <c r="A27" s="5" t="s">
        <v>15</v>
      </c>
      <c r="B27" s="5"/>
      <c r="C27" s="5"/>
      <c r="D27" s="5"/>
      <c r="E27" s="5"/>
      <c r="H27" s="4" t="str">
        <f t="shared" si="12"/>
        <v>1251.38511223681+2906.04820998664i</v>
      </c>
      <c r="I27" s="2" t="e">
        <f t="shared" si="13"/>
        <v>#NUM!</v>
      </c>
      <c r="J27" s="3" t="e">
        <f t="shared" si="14"/>
        <v>#NUM!</v>
      </c>
      <c r="K27" s="4" t="str">
        <f t="shared" si="15"/>
        <v>474.8177529208+1890.26191964967i</v>
      </c>
      <c r="L27" s="2" t="e">
        <f t="shared" si="6"/>
        <v>#NUM!</v>
      </c>
      <c r="M27" s="3" t="e">
        <f t="shared" si="7"/>
        <v>#NUM!</v>
      </c>
    </row>
    <row r="28" spans="1:13" x14ac:dyDescent="0.2">
      <c r="A28" s="5" t="s">
        <v>16</v>
      </c>
      <c r="B28" s="5" t="s">
        <v>5</v>
      </c>
      <c r="C28" s="5" t="s">
        <v>6</v>
      </c>
      <c r="D28" s="5" t="s">
        <v>17</v>
      </c>
      <c r="E28" s="5" t="s">
        <v>18</v>
      </c>
      <c r="H28" s="4" t="str">
        <f t="shared" si="12"/>
        <v>708.853356465964+3292.29109018057i</v>
      </c>
      <c r="I28" s="2" t="e">
        <f t="shared" si="13"/>
        <v>#NUM!</v>
      </c>
      <c r="J28" s="3" t="e">
        <f t="shared" si="14"/>
        <v>#NUM!</v>
      </c>
      <c r="K28" s="4" t="str">
        <f t="shared" si="15"/>
        <v>248.469278768007+1978.32542262304i</v>
      </c>
      <c r="L28" s="2" t="e">
        <f t="shared" si="6"/>
        <v>#NUM!</v>
      </c>
      <c r="M28" s="3" t="e">
        <f t="shared" si="7"/>
        <v>#NUM!</v>
      </c>
    </row>
    <row r="29" spans="1:13" x14ac:dyDescent="0.2">
      <c r="A29" s="8">
        <v>5.6</v>
      </c>
      <c r="B29" s="8">
        <f>66.5*10^-3</f>
        <v>6.6500000000000004E-2</v>
      </c>
      <c r="C29" s="8">
        <f>1100*10^-9</f>
        <v>1.1000000000000001E-6</v>
      </c>
      <c r="D29" s="8" t="str">
        <f>COMPLEX(A29,(60*B29*2*PI()))</f>
        <v>5.6+25.0699093756465i</v>
      </c>
      <c r="E29" s="8" t="str">
        <f>COMPLEX(0,(1/(60*C29*2*PI())))</f>
        <v>2411.43853169538i</v>
      </c>
      <c r="H29" s="4" t="str">
        <f t="shared" si="12"/>
        <v>366.608150966759+3405.44553540077i</v>
      </c>
      <c r="I29" s="2" t="e">
        <f t="shared" si="13"/>
        <v>#NUM!</v>
      </c>
      <c r="J29" s="3" t="e">
        <f>ATAN(IMAGINARY($I29)/IMREAL($I29))*180/PI()</f>
        <v>#NUM!</v>
      </c>
      <c r="K29" s="4" t="str">
        <f t="shared" si="15"/>
        <v>125.698651253649+2001.63850112596i</v>
      </c>
      <c r="L29" s="2" t="e">
        <f t="shared" si="6"/>
        <v>#NUM!</v>
      </c>
      <c r="M29" s="3" t="e">
        <f t="shared" si="7"/>
        <v>#NUM!</v>
      </c>
    </row>
    <row r="30" spans="1:13" x14ac:dyDescent="0.2">
      <c r="H30" s="4" t="str">
        <f t="shared" si="12"/>
        <v>184.892743928192+3434.9600120885i</v>
      </c>
      <c r="I30" s="2" t="e">
        <f t="shared" si="13"/>
        <v>#NUM!</v>
      </c>
      <c r="J30" s="3" t="e">
        <f t="shared" si="14"/>
        <v>#NUM!</v>
      </c>
      <c r="K30" s="4" t="str">
        <f t="shared" si="15"/>
        <v>63.0350307443161+2007.55287664741i</v>
      </c>
      <c r="L30" s="2" t="e">
        <f t="shared" si="6"/>
        <v>#NUM!</v>
      </c>
      <c r="M30" s="3" t="e">
        <f t="shared" si="7"/>
        <v>#NUM!</v>
      </c>
    </row>
    <row r="31" spans="1:13" x14ac:dyDescent="0.2">
      <c r="H31" s="4" t="str">
        <f t="shared" si="12"/>
        <v>92.6471115579199+3442.41874154405i</v>
      </c>
      <c r="I31" s="2" t="e">
        <f t="shared" si="13"/>
        <v>#NUM!</v>
      </c>
      <c r="J31" s="3" t="e">
        <f t="shared" si="14"/>
        <v>#NUM!</v>
      </c>
      <c r="K31" s="4" t="str">
        <f t="shared" si="15"/>
        <v>31.540814312+2009.03693569046i</v>
      </c>
      <c r="L31" s="2" t="e">
        <f t="shared" si="6"/>
        <v>#NUM!</v>
      </c>
      <c r="M31" s="3" t="e">
        <f t="shared" si="7"/>
        <v>#NUM!</v>
      </c>
    </row>
    <row r="32" spans="1:13" x14ac:dyDescent="0.2">
      <c r="H32" s="5" t="s">
        <v>26</v>
      </c>
      <c r="I32" s="5"/>
      <c r="J32" s="5"/>
      <c r="K32" s="5" t="s">
        <v>4</v>
      </c>
      <c r="L32" s="5"/>
      <c r="M32" s="5"/>
    </row>
    <row r="33" spans="1:13" x14ac:dyDescent="0.2">
      <c r="H33" s="6" t="s">
        <v>19</v>
      </c>
      <c r="I33" s="6" t="s">
        <v>20</v>
      </c>
      <c r="J33" s="6" t="s">
        <v>21</v>
      </c>
      <c r="K33" s="6" t="s">
        <v>19</v>
      </c>
      <c r="L33" s="6" t="s">
        <v>20</v>
      </c>
      <c r="M33" s="6" t="s">
        <v>21</v>
      </c>
    </row>
    <row r="34" spans="1:13" x14ac:dyDescent="0.2">
      <c r="C34" s="1">
        <v>293</v>
      </c>
      <c r="D34" s="1">
        <v>80.709999999999994</v>
      </c>
      <c r="E34" s="1">
        <v>-89.05</v>
      </c>
      <c r="F34" s="1">
        <v>88.2</v>
      </c>
      <c r="H34" s="6" t="str">
        <f>$D$24</f>
        <v>2.8+12.5161051319017i</v>
      </c>
      <c r="I34" s="6" t="str">
        <f>$D$24</f>
        <v>2.8+12.5161051319017i</v>
      </c>
      <c r="J34" s="7" t="str">
        <f>IMDIV(IMPRODUCT($E$24,$E$24),IMSUM($E$24,$E$24))</f>
        <v>2411.43853169539i</v>
      </c>
      <c r="K34" s="6" t="str">
        <f>$D$24</f>
        <v>2.8+12.5161051319017i</v>
      </c>
      <c r="L34" s="6" t="str">
        <f>$D$29</f>
        <v>5.6+25.0699093756465i</v>
      </c>
      <c r="M34" s="7" t="str">
        <f>IMDIV(IMPRODUCT($E$24,$E$29),IMSUM($E$24,$E$29))</f>
        <v>1607.62568779693i</v>
      </c>
    </row>
    <row r="35" spans="1:13" x14ac:dyDescent="0.2">
      <c r="C35" s="1">
        <v>357</v>
      </c>
      <c r="D35" s="1">
        <v>75</v>
      </c>
      <c r="E35" s="1">
        <v>-89.2</v>
      </c>
      <c r="F35" s="1">
        <v>88.5</v>
      </c>
      <c r="H35" s="5" t="s">
        <v>9</v>
      </c>
      <c r="I35" s="5"/>
      <c r="J35" s="5"/>
      <c r="K35" s="5" t="s">
        <v>9</v>
      </c>
      <c r="L35" s="5"/>
      <c r="M35" s="5"/>
    </row>
    <row r="36" spans="1:13" x14ac:dyDescent="0.2">
      <c r="H36" s="6" t="s">
        <v>2</v>
      </c>
      <c r="I36" s="6" t="s">
        <v>24</v>
      </c>
      <c r="J36" s="6" t="s">
        <v>28</v>
      </c>
      <c r="K36" s="6" t="s">
        <v>2</v>
      </c>
      <c r="L36" s="6" t="s">
        <v>24</v>
      </c>
      <c r="M36" s="6" t="s">
        <v>28</v>
      </c>
    </row>
    <row r="37" spans="1:13" x14ac:dyDescent="0.2">
      <c r="H37" s="4" t="str">
        <f t="shared" ref="H37:H44" si="16">IMDIV(IMPRODUCT(E2,$J$34),IMSUM(E2,$J$34))</f>
        <v>-261.338165996544i</v>
      </c>
      <c r="I37" s="2" t="str">
        <f t="shared" ref="I37:I44" si="17">IMSUM($H37,$H$34,$I$34)</f>
        <v>5.6-236.305955732741i</v>
      </c>
      <c r="J37" s="3">
        <f t="shared" ref="J37:J44" si="18">ATAN(IMAGINARY($I37)/IMREAL($I37))*180/PI()</f>
        <v>-88.642453507992883</v>
      </c>
      <c r="K37" s="4" t="str">
        <f t="shared" ref="K37:K44" si="19">IMDIV(IMPRODUCT(E2,$M$34),IMSUM(E2,$M$34))</f>
        <v>-276.310665090095i</v>
      </c>
      <c r="L37" s="2" t="str">
        <f t="shared" ref="L37:L44" si="20">IMSUM($K37,$K$34,$L$34)</f>
        <v>8.4-238.724650582547i</v>
      </c>
      <c r="M37" s="3">
        <f t="shared" ref="M37:M44" si="21">ATAN(IMAGINARY($L37)/IMREAL($L37))*180/PI()</f>
        <v>-87.984765862149658</v>
      </c>
    </row>
    <row r="38" spans="1:13" x14ac:dyDescent="0.2">
      <c r="H38" s="4" t="str">
        <f t="shared" si="16"/>
        <v>-123.952447890884i</v>
      </c>
      <c r="I38" s="2" t="str">
        <f t="shared" si="17"/>
        <v>5.6-98.9202376270806i</v>
      </c>
      <c r="J38" s="3">
        <f t="shared" si="18"/>
        <v>-86.759871724997737</v>
      </c>
      <c r="K38" s="4" t="str">
        <f t="shared" si="19"/>
        <v>-127.22217673213i</v>
      </c>
      <c r="L38" s="2" t="str">
        <f t="shared" si="20"/>
        <v>8.4-89.6361622245818i</v>
      </c>
      <c r="M38" s="3">
        <f t="shared" si="21"/>
        <v>-84.646323118776124</v>
      </c>
    </row>
    <row r="39" spans="1:13" x14ac:dyDescent="0.2">
      <c r="H39" s="4" t="str">
        <f t="shared" si="16"/>
        <v>-60.4232889490869i</v>
      </c>
      <c r="I39" s="2" t="str">
        <f t="shared" si="17"/>
        <v>5.6-35.3910786852835i</v>
      </c>
      <c r="J39" s="3">
        <f t="shared" si="18"/>
        <v>-81.008522483162139</v>
      </c>
      <c r="K39" s="4" t="str">
        <f t="shared" si="19"/>
        <v>-61.1899050718552i</v>
      </c>
      <c r="L39" s="2" t="str">
        <f t="shared" si="20"/>
        <v>8.4-23.603890564307i</v>
      </c>
      <c r="M39" s="3">
        <f t="shared" si="21"/>
        <v>-70.410701590824132</v>
      </c>
    </row>
    <row r="40" spans="1:13" x14ac:dyDescent="0.2">
      <c r="H40" s="4" t="str">
        <f t="shared" si="16"/>
        <v>-29.8378221019676i</v>
      </c>
      <c r="I40" s="2" t="str">
        <f t="shared" si="17"/>
        <v>5.6-4.8056118381642i</v>
      </c>
      <c r="J40" s="3">
        <f t="shared" si="18"/>
        <v>-40.634377414325364</v>
      </c>
      <c r="K40" s="4" t="str">
        <f t="shared" si="19"/>
        <v>-30.0235697211649i</v>
      </c>
      <c r="L40" s="2" t="str">
        <f t="shared" si="20"/>
        <v>8.4+7.5624447863833i</v>
      </c>
      <c r="M40" s="3">
        <f t="shared" si="21"/>
        <v>41.996424260592363</v>
      </c>
    </row>
    <row r="41" spans="1:13" x14ac:dyDescent="0.2">
      <c r="A41" s="1" t="e">
        <f>IMPRODUCT(IMDIV($D4, IMSUM($D4, $I$17)), (12/SQRT(2)))</f>
        <v>#NUM!</v>
      </c>
      <c r="H41" s="4" t="str">
        <f t="shared" si="16"/>
        <v>-14.8271793452483i</v>
      </c>
      <c r="I41" s="2" t="str">
        <f t="shared" si="17"/>
        <v>5.6+10.2050309185551i</v>
      </c>
      <c r="J41" s="3">
        <f t="shared" si="18"/>
        <v>61.244267874465635</v>
      </c>
      <c r="K41" s="4" t="str">
        <f t="shared" si="19"/>
        <v>-14.8729037559009i</v>
      </c>
      <c r="L41" s="2" t="str">
        <f t="shared" si="20"/>
        <v>8.4+22.7131107516473i</v>
      </c>
      <c r="M41" s="3">
        <f t="shared" si="21"/>
        <v>69.704071421701713</v>
      </c>
    </row>
    <row r="42" spans="1:13" x14ac:dyDescent="0.2">
      <c r="A42" s="1" t="e">
        <f>ATAN(IMAGINARY($A41)/IMREAL($A41))*180/PI()</f>
        <v>#NUM!</v>
      </c>
      <c r="H42" s="4" t="str">
        <f t="shared" si="16"/>
        <v>-7.39086760898557i</v>
      </c>
      <c r="I42" s="2" t="str">
        <f t="shared" si="17"/>
        <v>5.6+17.6413426548178i</v>
      </c>
      <c r="J42" s="3">
        <f t="shared" si="18"/>
        <v>72.388679769728483</v>
      </c>
      <c r="K42" s="4" t="str">
        <f t="shared" si="19"/>
        <v>-7.40221120375308i</v>
      </c>
      <c r="L42" s="2" t="str">
        <f t="shared" si="20"/>
        <v>8.4+30.1838033037951i</v>
      </c>
      <c r="M42" s="3">
        <f t="shared" si="21"/>
        <v>74.448383563885628</v>
      </c>
    </row>
    <row r="43" spans="1:13" x14ac:dyDescent="0.2">
      <c r="A43" s="1" t="e">
        <f>SQRT((IMAGINARY($A41)*IMAGINARY($A41)) + (IMREAL($A41) * IMREAL($A41)))</f>
        <v>#NUM!</v>
      </c>
      <c r="H43" s="4" t="str">
        <f t="shared" si="16"/>
        <v>-3.68977936411868i</v>
      </c>
      <c r="I43" s="2" t="str">
        <f t="shared" si="17"/>
        <v>5.6+21.3424308996847i</v>
      </c>
      <c r="J43" s="3">
        <f t="shared" si="18"/>
        <v>75.297694088475225</v>
      </c>
      <c r="K43" s="4" t="str">
        <f t="shared" si="19"/>
        <v>-3.692604419663i</v>
      </c>
      <c r="L43" s="2" t="str">
        <f t="shared" si="20"/>
        <v>8.4+33.8934100878852i</v>
      </c>
      <c r="M43" s="3">
        <f t="shared" si="21"/>
        <v>76.080521909318676</v>
      </c>
    </row>
    <row r="44" spans="1:13" x14ac:dyDescent="0.2">
      <c r="A44" s="13" t="e">
        <f>IMDIV(A43,  IMAGINARY(D4))</f>
        <v>#NUM!</v>
      </c>
      <c r="H44" s="4" t="str">
        <f t="shared" si="16"/>
        <v>-1.84347931396547i</v>
      </c>
      <c r="I44" s="2" t="str">
        <f t="shared" si="17"/>
        <v>5.6+23.1887309498379i</v>
      </c>
      <c r="J44" s="3">
        <f t="shared" si="18"/>
        <v>76.423214830390066</v>
      </c>
      <c r="K44" s="4" t="str">
        <f t="shared" si="19"/>
        <v>-1.8441842283623i</v>
      </c>
      <c r="L44" s="2" t="str">
        <f t="shared" si="20"/>
        <v>8.4+35.7418302791859i</v>
      </c>
      <c r="M44" s="3">
        <f t="shared" si="21"/>
        <v>76.774431156893044</v>
      </c>
    </row>
    <row r="45" spans="1:13" x14ac:dyDescent="0.2">
      <c r="A45" s="1" t="e">
        <f>A42 - 90</f>
        <v>#NUM!</v>
      </c>
      <c r="H45" s="5" t="s">
        <v>0</v>
      </c>
      <c r="I45" s="5"/>
      <c r="J45" s="9"/>
      <c r="K45" s="5" t="s">
        <v>0</v>
      </c>
      <c r="L45" s="5"/>
      <c r="M45" s="9"/>
    </row>
    <row r="46" spans="1:13" x14ac:dyDescent="0.2">
      <c r="H46" s="4" t="str">
        <f t="shared" ref="H46:H53" si="22">IMDIV(IMPRODUCT(D2,$J$34),IMSUM(D2,$J$34))</f>
        <v>0.565354101091498i</v>
      </c>
      <c r="I46" s="2" t="str">
        <f t="shared" ref="I46:I53" si="23">IMSUM($H46,$H$34,$I$34)</f>
        <v>5.6+25.5975643648949i</v>
      </c>
      <c r="J46" s="3">
        <f t="shared" ref="J46:J53" si="24">ATAN(IMAGINARY($I46)/IMREAL($I46))*180/PI()</f>
        <v>77.659774615909726</v>
      </c>
      <c r="K46" s="4" t="str">
        <f t="shared" ref="K46:K53" si="25">IMDIV(IMPRODUCT(D2,$M$34),IMSUM(D2,$M$34))</f>
        <v>0.565287836123045i</v>
      </c>
      <c r="L46" s="2" t="str">
        <f t="shared" ref="L46:L53" si="26">IMSUM($K46,$K$34,$L$34)</f>
        <v>8.4+38.1513023436712i</v>
      </c>
      <c r="M46" s="3">
        <f t="shared" ref="M46:M53" si="27">ATAN(IMAGINARY($L46)/IMREAL($L46))*180/PI()</f>
        <v>77.582964946926111</v>
      </c>
    </row>
    <row r="47" spans="1:13" x14ac:dyDescent="0.2">
      <c r="H47" s="4" t="str">
        <f t="shared" si="22"/>
        <v>1.24342920077134i</v>
      </c>
      <c r="I47" s="2" t="str">
        <f t="shared" si="23"/>
        <v>5.6+26.2756394645747i</v>
      </c>
      <c r="J47" s="3">
        <f t="shared" si="24"/>
        <v>77.96883331118552</v>
      </c>
      <c r="K47" s="4" t="str">
        <f t="shared" si="25"/>
        <v>1.24310870376475i</v>
      </c>
      <c r="L47" s="2" t="str">
        <f t="shared" si="26"/>
        <v>8.4+38.8291232113129i</v>
      </c>
      <c r="M47" s="3">
        <f t="shared" si="27"/>
        <v>77.793168244620688</v>
      </c>
    </row>
    <row r="48" spans="1:13" x14ac:dyDescent="0.2">
      <c r="H48" s="4" t="str">
        <f t="shared" si="22"/>
        <v>2.56081726495259i</v>
      </c>
      <c r="I48" s="2" t="str">
        <f t="shared" si="23"/>
        <v>5.6+27.593027528756i</v>
      </c>
      <c r="J48" s="3">
        <f t="shared" si="24"/>
        <v>78.527648272226486</v>
      </c>
      <c r="K48" s="4" t="str">
        <f t="shared" si="25"/>
        <v>2.55945826184724i</v>
      </c>
      <c r="L48" s="2" t="str">
        <f t="shared" si="26"/>
        <v>8.4+40.1454727693954i</v>
      </c>
      <c r="M48" s="3">
        <f t="shared" si="27"/>
        <v>78.181985770748696</v>
      </c>
    </row>
    <row r="49" spans="8:13" x14ac:dyDescent="0.2">
      <c r="H49" s="4" t="str">
        <f t="shared" si="22"/>
        <v>4.51542242365983i</v>
      </c>
      <c r="I49" s="2" t="str">
        <f t="shared" si="23"/>
        <v>5.6+29.5476326874632i</v>
      </c>
      <c r="J49" s="3">
        <f t="shared" si="24"/>
        <v>79.268330682832172</v>
      </c>
      <c r="K49" s="4" t="str">
        <f t="shared" si="25"/>
        <v>4.51119881024452i</v>
      </c>
      <c r="L49" s="2" t="str">
        <f t="shared" si="26"/>
        <v>8.4+42.0972133177927i</v>
      </c>
      <c r="M49" s="3">
        <f t="shared" si="27"/>
        <v>78.715514154641752</v>
      </c>
    </row>
    <row r="50" spans="8:13" x14ac:dyDescent="0.2">
      <c r="H50" s="4" t="str">
        <f t="shared" si="22"/>
        <v>9.01396618154105i</v>
      </c>
      <c r="I50" s="2" t="str">
        <f t="shared" si="23"/>
        <v>5.6+34.0461764453445i</v>
      </c>
      <c r="J50" s="3">
        <f t="shared" si="24"/>
        <v>80.659482380273161</v>
      </c>
      <c r="K50" s="4" t="str">
        <f t="shared" si="25"/>
        <v>8.99715049057766i</v>
      </c>
      <c r="L50" s="2" t="str">
        <f t="shared" si="26"/>
        <v>8.4+46.5831649981259i</v>
      </c>
      <c r="M50" s="3">
        <f t="shared" si="27"/>
        <v>79.778120679105868</v>
      </c>
    </row>
    <row r="51" spans="8:13" x14ac:dyDescent="0.2">
      <c r="H51" s="4" t="str">
        <f t="shared" si="22"/>
        <v>17.9607948452888i</v>
      </c>
      <c r="I51" s="2" t="str">
        <f t="shared" si="23"/>
        <v>5.6+42.9930051090922i</v>
      </c>
      <c r="J51" s="3">
        <f t="shared" si="24"/>
        <v>82.57879133634664</v>
      </c>
      <c r="K51" s="4" t="str">
        <f t="shared" si="25"/>
        <v>17.8941555235595i</v>
      </c>
      <c r="L51" s="2" t="str">
        <f t="shared" si="26"/>
        <v>8.4+55.4801700311077i</v>
      </c>
      <c r="M51" s="3">
        <f t="shared" si="27"/>
        <v>81.390496404645035</v>
      </c>
    </row>
    <row r="52" spans="8:13" x14ac:dyDescent="0.2">
      <c r="H52" s="4" t="str">
        <f t="shared" si="22"/>
        <v>35.6560177461466i</v>
      </c>
      <c r="I52" s="2" t="str">
        <f t="shared" si="23"/>
        <v>5.6+60.68822800995i</v>
      </c>
      <c r="J52" s="3">
        <f t="shared" si="24"/>
        <v>84.727967194986135</v>
      </c>
      <c r="K52" s="4" t="str">
        <f t="shared" si="25"/>
        <v>35.3943437840099i</v>
      </c>
      <c r="L52" s="2" t="str">
        <f t="shared" si="26"/>
        <v>8.4+72.9803582915581i</v>
      </c>
      <c r="M52" s="3">
        <f t="shared" si="27"/>
        <v>83.434179273763505</v>
      </c>
    </row>
    <row r="53" spans="8:13" x14ac:dyDescent="0.2">
      <c r="H53" s="4" t="str">
        <f t="shared" si="22"/>
        <v>556.717376556851i</v>
      </c>
      <c r="I53" s="2" t="str">
        <f t="shared" si="23"/>
        <v>5.6+581.749586820654i</v>
      </c>
      <c r="J53" s="3">
        <f t="shared" si="24"/>
        <v>89.448480131924839</v>
      </c>
      <c r="K53" s="4" t="str">
        <f t="shared" si="25"/>
        <v>499.104439221122i</v>
      </c>
      <c r="L53" s="2" t="str">
        <f t="shared" si="26"/>
        <v>8.4+536.69045372867i</v>
      </c>
      <c r="M53" s="3">
        <f t="shared" si="27"/>
        <v>89.103309458110786</v>
      </c>
    </row>
    <row r="54" spans="8:13" x14ac:dyDescent="0.2">
      <c r="H54" s="7" t="s">
        <v>1</v>
      </c>
      <c r="I54" s="5"/>
      <c r="J54" s="9"/>
      <c r="K54" s="7" t="s">
        <v>1</v>
      </c>
      <c r="L54" s="5"/>
      <c r="M54" s="9"/>
    </row>
    <row r="55" spans="8:13" x14ac:dyDescent="0.2">
      <c r="H55" s="4" t="str">
        <f t="shared" ref="H55:H62" si="28">IMDIV(IMPRODUCT(C2,$J$34),IMSUM(C2,$J$34))</f>
        <v>853.265627577104+353.840919584712i</v>
      </c>
      <c r="I55" s="2" t="str">
        <f t="shared" ref="I55:I62" si="29">IMSUM($H55,$H$34,$I$34)</f>
        <v>858.865627577104+378.873129848515i</v>
      </c>
      <c r="J55" s="3">
        <f t="shared" ref="J55:J62" si="30">ATAN(IMAGINARY($I55)/IMREAL($I55))*180/PI()</f>
        <v>23.803811632000368</v>
      </c>
      <c r="K55" s="4" t="str">
        <f t="shared" ref="K55:K62" si="31">IMDIV(IMPRODUCT(C2,$M$34),IMSUM(C2,$M$34))</f>
        <v>721.017977106644+448.49866643691i</v>
      </c>
      <c r="L55" s="2" t="str">
        <f t="shared" ref="L55:L62" si="32">IMSUM($K55,$K$34,$L$34)</f>
        <v>729.417977106644+486.084680944458i</v>
      </c>
      <c r="M55" s="3">
        <f t="shared" ref="M55:M62" si="33">ATAN(IMAGINARY($L55)/IMREAL($L55))*180/PI()</f>
        <v>33.679517968958557</v>
      </c>
    </row>
    <row r="56" spans="8:13" x14ac:dyDescent="0.2">
      <c r="H56" s="4" t="str">
        <f t="shared" si="28"/>
        <v>1184.9240115454+982.75282240956i</v>
      </c>
      <c r="I56" s="2" t="str">
        <f t="shared" si="29"/>
        <v>1190.5240115454+1007.78503267336i</v>
      </c>
      <c r="J56" s="3">
        <f t="shared" si="30"/>
        <v>40.248095307226365</v>
      </c>
      <c r="K56" s="4" t="str">
        <f t="shared" si="31"/>
        <v>785.018122632995+976.618038131468i</v>
      </c>
      <c r="L56" s="2" t="str">
        <f t="shared" si="32"/>
        <v>793.418122632995+1014.20405263902i</v>
      </c>
      <c r="M56" s="3">
        <f t="shared" si="33"/>
        <v>51.963707413134919</v>
      </c>
    </row>
    <row r="57" spans="8:13" x14ac:dyDescent="0.2">
      <c r="H57" s="4" t="str">
        <f t="shared" si="28"/>
        <v>1066.24363994654+1768.64328230983i</v>
      </c>
      <c r="I57" s="2" t="str">
        <f t="shared" si="29"/>
        <v>1071.84363994654+1793.67549257363i</v>
      </c>
      <c r="J57" s="3">
        <f t="shared" si="30"/>
        <v>59.138798486686163</v>
      </c>
      <c r="K57" s="4" t="str">
        <f t="shared" si="31"/>
        <v>556.262663129187+1384.06015119473i</v>
      </c>
      <c r="L57" s="2" t="str">
        <f t="shared" si="32"/>
        <v>564.662663129187+1421.64616570228i</v>
      </c>
      <c r="M57" s="3">
        <f t="shared" si="33"/>
        <v>68.337552969958992</v>
      </c>
    </row>
    <row r="58" spans="8:13" x14ac:dyDescent="0.2">
      <c r="H58" s="4" t="str">
        <f t="shared" si="28"/>
        <v>666.336209805333+2210.58493027183i</v>
      </c>
      <c r="I58" s="2" t="str">
        <f t="shared" si="29"/>
        <v>671.936209805333+2235.61714053563i</v>
      </c>
      <c r="J58" s="3">
        <f t="shared" si="30"/>
        <v>73.271344577614954</v>
      </c>
      <c r="K58" s="4" t="str">
        <f t="shared" si="31"/>
        <v>310.518140526993+1545.22607039216i</v>
      </c>
      <c r="L58" s="2" t="str">
        <f t="shared" si="32"/>
        <v>318.918140526993+1582.81208489971i</v>
      </c>
      <c r="M58" s="3">
        <f t="shared" si="33"/>
        <v>78.608096630639636</v>
      </c>
    </row>
    <row r="59" spans="8:13" x14ac:dyDescent="0.2">
      <c r="H59" s="4" t="str">
        <f t="shared" si="28"/>
        <v>355.367568531046+2357.87934121597i</v>
      </c>
      <c r="I59" s="2" t="str">
        <f t="shared" si="29"/>
        <v>360.967568531046+2382.91155147977i</v>
      </c>
      <c r="J59" s="3">
        <f t="shared" si="30"/>
        <v>81.386223662576555</v>
      </c>
      <c r="K59" s="4" t="str">
        <f t="shared" si="31"/>
        <v>159.914348978019+1591.55803684291i</v>
      </c>
      <c r="L59" s="2" t="str">
        <f t="shared" si="32"/>
        <v>168.314348978019+1629.14405135046i</v>
      </c>
      <c r="M59" s="3">
        <f t="shared" si="33"/>
        <v>84.10143754922467</v>
      </c>
    </row>
    <row r="60" spans="8:13" x14ac:dyDescent="0.2">
      <c r="H60" s="4" t="str">
        <f t="shared" si="28"/>
        <v>180.693754588183+2397.82191037506i</v>
      </c>
      <c r="I60" s="2" t="str">
        <f t="shared" si="29"/>
        <v>186.293754588183+2422.85412063886i</v>
      </c>
      <c r="J60" s="3">
        <f t="shared" si="30"/>
        <v>85.603166885841745</v>
      </c>
      <c r="K60" s="4" t="str">
        <f t="shared" si="31"/>
        <v>80.5610589874924+1603.57843692617i</v>
      </c>
      <c r="L60" s="2" t="str">
        <f t="shared" si="32"/>
        <v>88.9610589874924+1641.16445143372i</v>
      </c>
      <c r="M60" s="3">
        <f t="shared" si="33"/>
        <v>86.897258077016261</v>
      </c>
    </row>
    <row r="61" spans="8:13" x14ac:dyDescent="0.2">
      <c r="H61" s="4" t="str">
        <f t="shared" si="28"/>
        <v>90.7311245021612+2408.01989841963i</v>
      </c>
      <c r="I61" s="2" t="str">
        <f t="shared" si="29"/>
        <v>96.3311245021612+2433.05210868343i</v>
      </c>
      <c r="J61" s="3">
        <f t="shared" si="30"/>
        <v>87.732689103379002</v>
      </c>
      <c r="K61" s="4" t="str">
        <f t="shared" si="31"/>
        <v>40.3567290444282+1606.6119610112i</v>
      </c>
      <c r="L61" s="2" t="str">
        <f t="shared" si="32"/>
        <v>48.7567290444282+1644.19797551875i</v>
      </c>
      <c r="M61" s="3">
        <f t="shared" si="33"/>
        <v>88.301459778810582</v>
      </c>
    </row>
    <row r="62" spans="8:13" x14ac:dyDescent="0.2">
      <c r="H62" s="4" t="str">
        <f t="shared" si="28"/>
        <v>45.4138487694418+2410.58296368918i</v>
      </c>
      <c r="I62" s="2" t="str">
        <f t="shared" si="29"/>
        <v>51.0138487694418+2435.61517395298i</v>
      </c>
      <c r="J62" s="3">
        <f t="shared" si="30"/>
        <v>88.800117949109065</v>
      </c>
      <c r="K62" s="4" t="str">
        <f t="shared" si="31"/>
        <v>20.1879119998845+1607.37213618823i</v>
      </c>
      <c r="L62" s="2" t="str">
        <f t="shared" si="32"/>
        <v>28.5879119998845+1644.95815069578i</v>
      </c>
      <c r="M62" s="3">
        <f t="shared" si="33"/>
        <v>89.004350460276413</v>
      </c>
    </row>
  </sheetData>
  <phoneticPr fontId="1" type="noConversion"/>
  <pageMargins left="0.75" right="0.75" top="1" bottom="1" header="0.5" footer="0.5"/>
  <rowBreaks count="2" manualBreakCount="2">
    <brk id="31" max="16383" man="1"/>
    <brk id="63" max="16383" man="1" pt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8A611-900C-6845-AE1F-484E5B367E39}">
  <dimension ref="A1:S47"/>
  <sheetViews>
    <sheetView tabSelected="1" topLeftCell="C1" workbookViewId="0">
      <selection activeCell="Q8" sqref="Q8"/>
    </sheetView>
  </sheetViews>
  <sheetFormatPr baseColWidth="10" defaultRowHeight="13" x14ac:dyDescent="0.15"/>
  <cols>
    <col min="1" max="1" width="22.83203125" customWidth="1"/>
    <col min="2" max="2" width="19.83203125" customWidth="1"/>
    <col min="3" max="3" width="11.5" customWidth="1"/>
    <col min="4" max="4" width="19.83203125" customWidth="1"/>
    <col min="5" max="6" width="14.5" customWidth="1"/>
    <col min="7" max="7" width="12.5" customWidth="1"/>
    <col min="8" max="8" width="9.5" customWidth="1"/>
    <col min="9" max="9" width="39.33203125" customWidth="1"/>
    <col min="12" max="12" width="15.33203125" customWidth="1"/>
    <col min="13" max="13" width="10.83203125" customWidth="1"/>
    <col min="18" max="18" width="22.33203125" customWidth="1"/>
    <col min="19" max="19" width="27.1640625" customWidth="1"/>
  </cols>
  <sheetData>
    <row r="1" spans="1:19" x14ac:dyDescent="0.15">
      <c r="A1" s="18" t="s">
        <v>60</v>
      </c>
      <c r="B1" s="18" t="s">
        <v>46</v>
      </c>
      <c r="C1" s="19"/>
      <c r="D1" s="18" t="s">
        <v>30</v>
      </c>
      <c r="E1" s="18" t="s">
        <v>49</v>
      </c>
      <c r="F1" s="18" t="s">
        <v>50</v>
      </c>
      <c r="H1" s="18" t="s">
        <v>58</v>
      </c>
      <c r="I1" s="14"/>
      <c r="K1" s="18" t="s">
        <v>41</v>
      </c>
      <c r="L1" s="18" t="s">
        <v>47</v>
      </c>
      <c r="M1" s="18" t="s">
        <v>42</v>
      </c>
      <c r="N1" s="18" t="s">
        <v>48</v>
      </c>
      <c r="O1" s="18" t="s">
        <v>44</v>
      </c>
      <c r="P1" s="18" t="s">
        <v>43</v>
      </c>
      <c r="Q1" s="18" t="s">
        <v>45</v>
      </c>
      <c r="R1" s="18" t="s">
        <v>62</v>
      </c>
      <c r="S1" s="18" t="s">
        <v>63</v>
      </c>
    </row>
    <row r="2" spans="1:19" x14ac:dyDescent="0.15">
      <c r="A2" s="17" t="s">
        <v>52</v>
      </c>
      <c r="B2">
        <v>0.19009999999999999</v>
      </c>
      <c r="D2" t="str">
        <f t="shared" ref="D2:D7" si="0">COMPLEX(10, 60*2*PI()*B2)</f>
        <v>10+71.6660116136904i</v>
      </c>
      <c r="E2">
        <f t="shared" ref="E2:E8" si="1">SQRT((IMAGINARY(D2)*IMAGINARY(D2)) + (IMREAL(D2)*IMREAL(D2)))</f>
        <v>72.360329052690247</v>
      </c>
      <c r="F2">
        <f t="shared" ref="F2:F7" si="2">ATAN(IMAGINARY(D2)/IMREAL(D2)) * 180/PI()</f>
        <v>82.05645651005328</v>
      </c>
      <c r="H2" t="s">
        <v>31</v>
      </c>
      <c r="I2">
        <v>1.1000000000000001</v>
      </c>
      <c r="K2" t="str">
        <f>IMDIV(IMPRODUCT(D2, $I$15), IMSUM(D2, $I$15))</f>
        <v>10.4293303006979+73.1576679157495i</v>
      </c>
      <c r="L2" t="str">
        <f>IMDIV(K2, IMSUM($I$13, K2))</f>
        <v>0.952851981059118+0.00339914779654781i</v>
      </c>
      <c r="M2">
        <f>SQRT((IMAGINARY(L2) * IMAGINARY(L2)) + (IMREAL(L2) * IMREAL(L2)))</f>
        <v>0.95285804399922469</v>
      </c>
      <c r="N2">
        <f>ATAN(IMAGINARY(L2)/IMREAL(L2)) * (180/PI())</f>
        <v>0.20439270779488586</v>
      </c>
      <c r="O2" s="17">
        <f>(M2*12)/SQRT(2)</f>
        <v>8.0852686130400162</v>
      </c>
      <c r="P2">
        <f>O2/E2</f>
        <v>0.11173620572057665</v>
      </c>
      <c r="Q2">
        <f>N2-F2</f>
        <v>-81.8520638022584</v>
      </c>
      <c r="R2">
        <v>-47.89</v>
      </c>
      <c r="S2">
        <v>-83.04</v>
      </c>
    </row>
    <row r="3" spans="1:19" x14ac:dyDescent="0.15">
      <c r="A3" s="17" t="s">
        <v>56</v>
      </c>
      <c r="B3">
        <v>0.14399999999999999</v>
      </c>
      <c r="D3" t="str">
        <f t="shared" si="0"/>
        <v>10+54.2867210540316i</v>
      </c>
      <c r="E3">
        <f t="shared" si="1"/>
        <v>55.200073213703604</v>
      </c>
      <c r="F3">
        <f t="shared" si="2"/>
        <v>79.562713961976456</v>
      </c>
      <c r="H3" t="s">
        <v>32</v>
      </c>
      <c r="I3">
        <v>2.8</v>
      </c>
      <c r="K3" t="str">
        <f t="shared" ref="K3:K7" si="3">IMDIV(IMPRODUCT(D3, $I$15), IMSUM(D3, $I$15))</f>
        <v>10.3226902343697+55.1254516092238i</v>
      </c>
      <c r="L3" t="str">
        <f t="shared" ref="L3:L7" si="4">IMDIV(K3, IMSUM($I$13, K3))</f>
        <v>0.938670245715782+0.00184439331902944i</v>
      </c>
      <c r="M3">
        <f t="shared" ref="M3:M8" si="5">SQRT((IMAGINARY(L3) * IMAGINARY(L3)) + (IMREAL(L3) * IMREAL(L3)))</f>
        <v>0.93867205773839979</v>
      </c>
      <c r="N3">
        <f t="shared" ref="N3:N8" si="6">ATAN(IMAGINARY(L3)/IMREAL(L3)) * (180/PI())</f>
        <v>0.1125803416333799</v>
      </c>
      <c r="O3" s="17">
        <f t="shared" ref="O3:O8" si="7">(M3*12)/SQRT(2)</f>
        <v>7.964896528045835</v>
      </c>
      <c r="P3">
        <f t="shared" ref="P3:P8" si="8">O3/E3</f>
        <v>0.14429141239016549</v>
      </c>
      <c r="Q3">
        <f t="shared" ref="Q3:Q8" si="9">N3-F3</f>
        <v>-79.450133620343081</v>
      </c>
      <c r="R3">
        <v>-33.76</v>
      </c>
      <c r="S3">
        <v>-75.650000000000006</v>
      </c>
    </row>
    <row r="4" spans="1:19" x14ac:dyDescent="0.15">
      <c r="A4" s="17" t="s">
        <v>53</v>
      </c>
      <c r="B4">
        <v>0.13009999999999999</v>
      </c>
      <c r="D4" t="str">
        <f t="shared" si="0"/>
        <v>10+49.0465445078438i</v>
      </c>
      <c r="E4">
        <f t="shared" si="1"/>
        <v>50.055604363147012</v>
      </c>
      <c r="F4">
        <f t="shared" si="2"/>
        <v>78.476032581721967</v>
      </c>
      <c r="K4" t="str">
        <f t="shared" si="3"/>
        <v>10.2908571049938+49.7246204975198i</v>
      </c>
      <c r="L4" t="str">
        <f t="shared" si="4"/>
        <v>0.932670208354425+0.000820637617023075i</v>
      </c>
      <c r="M4">
        <f t="shared" si="5"/>
        <v>0.93267056938556014</v>
      </c>
      <c r="N4">
        <f t="shared" si="6"/>
        <v>5.0413382361796939E-2</v>
      </c>
      <c r="O4" s="17">
        <f t="shared" si="7"/>
        <v>7.9139722107077759</v>
      </c>
      <c r="P4">
        <f t="shared" si="8"/>
        <v>0.15810361919302621</v>
      </c>
      <c r="Q4">
        <f t="shared" si="9"/>
        <v>-78.42561919936017</v>
      </c>
      <c r="R4">
        <v>-36.68</v>
      </c>
      <c r="S4">
        <v>-77.709999999999994</v>
      </c>
    </row>
    <row r="5" spans="1:19" x14ac:dyDescent="0.15">
      <c r="A5" s="17" t="s">
        <v>57</v>
      </c>
      <c r="B5">
        <v>0.1028</v>
      </c>
      <c r="D5" t="str">
        <f t="shared" si="0"/>
        <v>10+38.7546869746837i</v>
      </c>
      <c r="E5">
        <f t="shared" si="1"/>
        <v>40.024064792393567</v>
      </c>
      <c r="F5">
        <f t="shared" si="2"/>
        <v>75.531382471519947</v>
      </c>
      <c r="H5" s="17" t="s">
        <v>35</v>
      </c>
      <c r="I5">
        <v>1.3299999999999999E-2</v>
      </c>
      <c r="K5" t="str">
        <f t="shared" si="3"/>
        <v>10.2287630211443+39.1656010712328i</v>
      </c>
      <c r="L5" t="str">
        <f t="shared" si="4"/>
        <v>0.917003102605193-0.00291737353216072i</v>
      </c>
      <c r="M5">
        <f t="shared" si="5"/>
        <v>0.917007743291122</v>
      </c>
      <c r="N5">
        <f t="shared" si="6"/>
        <v>-0.182281418940302</v>
      </c>
      <c r="O5" s="17">
        <f t="shared" si="7"/>
        <v>7.7810687241807015</v>
      </c>
      <c r="P5">
        <f t="shared" si="8"/>
        <v>0.19440975734327379</v>
      </c>
      <c r="Q5">
        <f t="shared" si="9"/>
        <v>-75.713663890460253</v>
      </c>
      <c r="R5">
        <v>-29.21</v>
      </c>
      <c r="S5">
        <v>-71.22</v>
      </c>
    </row>
    <row r="6" spans="1:19" x14ac:dyDescent="0.15">
      <c r="A6" s="17" t="s">
        <v>55</v>
      </c>
      <c r="B6">
        <v>8.2100000000000006E-2</v>
      </c>
      <c r="D6" t="str">
        <f t="shared" si="0"/>
        <v>10+30.9509708231666i</v>
      </c>
      <c r="E6">
        <f t="shared" si="1"/>
        <v>32.526336942491852</v>
      </c>
      <c r="F6">
        <f t="shared" si="2"/>
        <v>72.094788845585015</v>
      </c>
      <c r="H6" s="17" t="s">
        <v>36</v>
      </c>
      <c r="I6">
        <v>3.32E-2</v>
      </c>
      <c r="K6" t="str">
        <f t="shared" si="3"/>
        <v>10.1820545531293+31.2017475587145i</v>
      </c>
      <c r="L6" t="str">
        <f t="shared" si="4"/>
        <v>0.899875514964856-0.00887679177530163i</v>
      </c>
      <c r="M6">
        <f t="shared" si="5"/>
        <v>0.89991929630688927</v>
      </c>
      <c r="N6">
        <f t="shared" si="6"/>
        <v>-0.56517396002068587</v>
      </c>
      <c r="O6" s="17">
        <f t="shared" si="7"/>
        <v>7.6360684432707275</v>
      </c>
      <c r="P6">
        <f t="shared" si="8"/>
        <v>0.23476570561178373</v>
      </c>
      <c r="Q6">
        <f t="shared" si="9"/>
        <v>-72.659962805605701</v>
      </c>
      <c r="R6">
        <v>-33.130000000000003</v>
      </c>
      <c r="S6">
        <v>-74.150000000000006</v>
      </c>
    </row>
    <row r="7" spans="1:19" x14ac:dyDescent="0.15">
      <c r="A7" s="17" t="s">
        <v>54</v>
      </c>
      <c r="B7">
        <v>0.1</v>
      </c>
      <c r="D7" t="str">
        <f t="shared" si="0"/>
        <v>10+37.6991118430775i</v>
      </c>
      <c r="E7">
        <f t="shared" si="1"/>
        <v>39.002859302323806</v>
      </c>
      <c r="F7">
        <f t="shared" si="2"/>
        <v>75.143948719088201</v>
      </c>
      <c r="K7" t="str">
        <f t="shared" si="3"/>
        <v>10.2224261927066+38.0862313869087i</v>
      </c>
      <c r="L7" t="str">
        <f t="shared" si="4"/>
        <v>0.915008568739706-0.00350747527548192i</v>
      </c>
      <c r="M7">
        <f t="shared" si="5"/>
        <v>0.91501529126561243</v>
      </c>
      <c r="N7">
        <f t="shared" si="6"/>
        <v>-0.21962914074154063</v>
      </c>
      <c r="O7" s="17">
        <f t="shared" si="7"/>
        <v>7.7641622081195809</v>
      </c>
      <c r="P7">
        <f t="shared" si="8"/>
        <v>0.19906648761151183</v>
      </c>
      <c r="Q7">
        <f t="shared" si="9"/>
        <v>-75.363577859829746</v>
      </c>
      <c r="R7">
        <v>-23.58</v>
      </c>
      <c r="S7">
        <v>-53.65</v>
      </c>
    </row>
    <row r="8" spans="1:19" x14ac:dyDescent="0.15">
      <c r="B8">
        <v>2.35E-2</v>
      </c>
      <c r="D8" t="str">
        <f>COMPLEX(0, -1/(2*PI()*60*2*0.00001))</f>
        <v>-132.629119243246i</v>
      </c>
      <c r="E8">
        <f t="shared" si="1"/>
        <v>132.62911924324601</v>
      </c>
      <c r="F8">
        <f>-90</f>
        <v>-90</v>
      </c>
      <c r="H8" s="17" t="s">
        <v>33</v>
      </c>
      <c r="I8" s="15">
        <v>2.2000000000000001E-7</v>
      </c>
      <c r="K8" t="str">
        <f>IMDIV(IMPRODUCT(D8, $I$15), IMSUM(D8, $I$15))</f>
        <v>-127.712199560179i</v>
      </c>
      <c r="L8" t="str">
        <f>IMDIV(K8, IMSUM($I$13, K8))</f>
        <v>1.02879764607602-0.00654581067341872i</v>
      </c>
      <c r="M8">
        <f t="shared" si="5"/>
        <v>1.0288184699979543</v>
      </c>
      <c r="N8">
        <f t="shared" si="6"/>
        <v>-0.36454424802112489</v>
      </c>
      <c r="O8" s="17">
        <f t="shared" si="7"/>
        <v>8.7298142009462634</v>
      </c>
      <c r="P8">
        <f t="shared" si="8"/>
        <v>6.582124838615197E-2</v>
      </c>
      <c r="Q8">
        <f t="shared" si="9"/>
        <v>89.635455751978881</v>
      </c>
    </row>
    <row r="9" spans="1:19" x14ac:dyDescent="0.15">
      <c r="H9" s="17" t="s">
        <v>34</v>
      </c>
      <c r="I9" s="16">
        <f>550*10^-9</f>
        <v>5.5000000000000003E-7</v>
      </c>
    </row>
    <row r="11" spans="1:19" x14ac:dyDescent="0.15">
      <c r="H11" s="17" t="s">
        <v>37</v>
      </c>
      <c r="I11" t="str">
        <f>COMPLEX(I2, IMPRODUCT(I5, 60*2*PI()))</f>
        <v>1.1+5.01398187512931i</v>
      </c>
    </row>
    <row r="12" spans="1:19" x14ac:dyDescent="0.15">
      <c r="H12" s="17" t="s">
        <v>38</v>
      </c>
      <c r="I12" t="str">
        <f>COMPLEX(I3, IMPRODUCT(I6, 60*2*PI()))</f>
        <v>2.8+12.5161051319017i</v>
      </c>
    </row>
    <row r="13" spans="1:19" x14ac:dyDescent="0.15">
      <c r="H13" s="17" t="s">
        <v>39</v>
      </c>
      <c r="I13" t="str">
        <f>IMDIV(IMPRODUCT(I11, I12), IMSUM(I11, I12))</f>
        <v>0.789802164989205+3.57988826278248i</v>
      </c>
    </row>
    <row r="14" spans="1:19" x14ac:dyDescent="0.15">
      <c r="H14" s="17" t="s">
        <v>40</v>
      </c>
      <c r="I14" s="15">
        <f>I8+I9</f>
        <v>7.7000000000000004E-7</v>
      </c>
    </row>
    <row r="15" spans="1:19" x14ac:dyDescent="0.15">
      <c r="H15" s="17" t="s">
        <v>51</v>
      </c>
      <c r="I15" t="str">
        <f>COMPLEX(0,-1/(60*2*PI()*I14))</f>
        <v>-3444.91218813626i</v>
      </c>
    </row>
    <row r="17" spans="4:17" x14ac:dyDescent="0.15">
      <c r="H17" s="18" t="s">
        <v>59</v>
      </c>
      <c r="I17" s="14"/>
      <c r="K17" s="18" t="s">
        <v>41</v>
      </c>
      <c r="L17" s="18" t="s">
        <v>47</v>
      </c>
      <c r="M17" s="18" t="s">
        <v>42</v>
      </c>
      <c r="N17" s="18" t="s">
        <v>48</v>
      </c>
      <c r="O17" s="18" t="s">
        <v>44</v>
      </c>
      <c r="P17" s="18" t="s">
        <v>43</v>
      </c>
      <c r="Q17" s="18" t="s">
        <v>45</v>
      </c>
    </row>
    <row r="18" spans="4:17" x14ac:dyDescent="0.15">
      <c r="H18" t="s">
        <v>31</v>
      </c>
      <c r="I18">
        <v>2.8</v>
      </c>
      <c r="K18" t="str">
        <f>IMDIV(IMPRODUCT(D2, $I$31), IMSUM(D2, $I$31))</f>
        <v>10.9544817769845+74.9385404963067i</v>
      </c>
      <c r="L18" t="str">
        <f>IMDIV(K18, IMSUM($I$29, K18))</f>
        <v>0.898714982243375+0.00682073574881889i</v>
      </c>
      <c r="M18">
        <f>SQRT((IMAGINARY(L18) * IMAGINARY(L18)) + (IMREAL(L18) * IMREAL(L18)))</f>
        <v>0.89874086462387204</v>
      </c>
      <c r="N18">
        <f>ATAN(IMAGINARY(L18)/IMREAL(L18)) * (180/PI())</f>
        <v>0.43483404225250138</v>
      </c>
      <c r="O18" s="17">
        <f>(M18*12)/SQRT(2)</f>
        <v>7.6260691188600092</v>
      </c>
      <c r="P18">
        <f>O18/E2</f>
        <v>0.10539019402892673</v>
      </c>
      <c r="Q18">
        <f>N18-F2</f>
        <v>-81.621622467800776</v>
      </c>
    </row>
    <row r="19" spans="4:17" x14ac:dyDescent="0.15">
      <c r="H19" t="s">
        <v>32</v>
      </c>
      <c r="I19">
        <v>5.6</v>
      </c>
      <c r="K19" t="str">
        <f t="shared" ref="K19:K23" si="10">IMDIV(IMPRODUCT(D3, $I$31), IMSUM(D3, $I$31))</f>
        <v>10.710738131512+56.115002428726i</v>
      </c>
      <c r="L19" t="str">
        <f t="shared" ref="L19:L23" si="11">IMDIV(K19, IMSUM($I$29, K19))</f>
        <v>0.869802445948482+0.00355427437369418i</v>
      </c>
      <c r="M19">
        <f t="shared" ref="M19:M23" si="12">SQRT((IMAGINARY(L19) * IMAGINARY(L19)) + (IMREAL(L19) * IMREAL(L19)))</f>
        <v>0.86980970783515943</v>
      </c>
      <c r="N19">
        <f t="shared" ref="N19:N23" si="13">ATAN(IMAGINARY(L19)/IMREAL(L19)) * (180/PI())</f>
        <v>0.23412648277365303</v>
      </c>
      <c r="O19" s="17">
        <f t="shared" ref="O19:O23" si="14">(M19*12)/SQRT(2)</f>
        <v>7.3805801130255704</v>
      </c>
      <c r="P19">
        <f t="shared" ref="P19:P23" si="15">O19/E3</f>
        <v>0.13370598412889997</v>
      </c>
      <c r="Q19">
        <f t="shared" ref="Q19:Q23" si="16">N19-F3</f>
        <v>-79.32858747920281</v>
      </c>
    </row>
    <row r="20" spans="4:17" x14ac:dyDescent="0.15">
      <c r="K20" t="str">
        <f t="shared" si="10"/>
        <v>10.6388399540158+50.5217183150382i</v>
      </c>
      <c r="L20" t="str">
        <f t="shared" si="11"/>
        <v>0.857869566426482+0.0015161269992048i</v>
      </c>
      <c r="M20">
        <f t="shared" si="12"/>
        <v>0.85787090616353112</v>
      </c>
      <c r="N20">
        <f t="shared" si="13"/>
        <v>0.10125966839136293</v>
      </c>
      <c r="O20" s="17">
        <f t="shared" si="14"/>
        <v>7.279276021570575</v>
      </c>
      <c r="P20">
        <f t="shared" si="15"/>
        <v>0.14542379647961809</v>
      </c>
      <c r="Q20">
        <f t="shared" si="16"/>
        <v>-78.374772913330602</v>
      </c>
    </row>
    <row r="21" spans="4:17" x14ac:dyDescent="0.15">
      <c r="H21" s="17" t="s">
        <v>35</v>
      </c>
      <c r="I21">
        <v>3.32E-2</v>
      </c>
      <c r="K21" t="str">
        <f t="shared" si="10"/>
        <v>10.4997209943568+39.6450906801699i</v>
      </c>
      <c r="L21" t="str">
        <f t="shared" si="11"/>
        <v>0.827485831358676-0.00555722208283586i</v>
      </c>
      <c r="M21">
        <f t="shared" si="12"/>
        <v>0.82750449171991636</v>
      </c>
      <c r="N21">
        <f t="shared" si="13"/>
        <v>-0.38478070842557266</v>
      </c>
      <c r="O21" s="17">
        <f t="shared" si="14"/>
        <v>7.0216084506897607</v>
      </c>
      <c r="P21">
        <f t="shared" si="15"/>
        <v>0.17543466629666743</v>
      </c>
      <c r="Q21">
        <f t="shared" si="16"/>
        <v>-75.916163179945514</v>
      </c>
    </row>
    <row r="22" spans="4:17" x14ac:dyDescent="0.15">
      <c r="H22" s="17" t="s">
        <v>36</v>
      </c>
      <c r="I22">
        <v>6.6500000000000004E-2</v>
      </c>
      <c r="K22" t="str">
        <f t="shared" si="10"/>
        <v>10.3960461128124+31.4926184595336i</v>
      </c>
      <c r="L22" t="str">
        <f t="shared" si="11"/>
        <v>0.795420125213058-0.0161150299480823i</v>
      </c>
      <c r="M22">
        <f t="shared" si="12"/>
        <v>0.79558335187721507</v>
      </c>
      <c r="N22">
        <f t="shared" si="13"/>
        <v>-1.1606406174820967</v>
      </c>
      <c r="O22" s="17">
        <f t="shared" si="14"/>
        <v>6.7507485973380232</v>
      </c>
      <c r="P22">
        <f t="shared" si="15"/>
        <v>0.20754715199789253</v>
      </c>
      <c r="Q22">
        <f t="shared" si="16"/>
        <v>-73.255429463067117</v>
      </c>
    </row>
    <row r="23" spans="4:17" x14ac:dyDescent="0.15">
      <c r="K23" t="str">
        <f t="shared" si="10"/>
        <v>10.4856068708157+38.537601352849i</v>
      </c>
      <c r="L23" t="str">
        <f t="shared" si="11"/>
        <v>0.823693337598139-0.00663570514009268i</v>
      </c>
      <c r="M23">
        <f t="shared" si="12"/>
        <v>0.82372006591212044</v>
      </c>
      <c r="N23">
        <f t="shared" si="13"/>
        <v>-0.46156701368098491</v>
      </c>
      <c r="O23" s="17">
        <f t="shared" si="14"/>
        <v>6.9894965328706826</v>
      </c>
      <c r="P23">
        <f t="shared" si="15"/>
        <v>0.17920472134344892</v>
      </c>
      <c r="Q23">
        <f t="shared" si="16"/>
        <v>-75.605515732769192</v>
      </c>
    </row>
    <row r="24" spans="4:17" x14ac:dyDescent="0.15">
      <c r="H24" s="17" t="s">
        <v>33</v>
      </c>
      <c r="I24" s="16">
        <f>550*10^-9</f>
        <v>5.5000000000000003E-7</v>
      </c>
      <c r="O24" s="17"/>
    </row>
    <row r="25" spans="4:17" x14ac:dyDescent="0.15">
      <c r="D25">
        <v>-23.07</v>
      </c>
      <c r="H25" s="17" t="s">
        <v>34</v>
      </c>
      <c r="I25" s="16">
        <f>1100*10^-9</f>
        <v>1.1000000000000001E-6</v>
      </c>
      <c r="L25" s="17"/>
    </row>
    <row r="26" spans="4:17" x14ac:dyDescent="0.15">
      <c r="D26">
        <v>-21.68</v>
      </c>
      <c r="L26" s="17"/>
    </row>
    <row r="27" spans="4:17" x14ac:dyDescent="0.15">
      <c r="D27">
        <v>-22.88</v>
      </c>
      <c r="H27" s="17" t="s">
        <v>37</v>
      </c>
      <c r="I27" t="str">
        <f>COMPLEX(I18, IMPRODUCT(I21, 60*2*PI()))</f>
        <v>2.8+12.5161051319017i</v>
      </c>
      <c r="L27" s="17"/>
    </row>
    <row r="28" spans="4:17" x14ac:dyDescent="0.15">
      <c r="D28">
        <v>-20.37</v>
      </c>
      <c r="H28" s="17" t="s">
        <v>38</v>
      </c>
      <c r="I28" t="str">
        <f>COMPLEX(I19, IMPRODUCT(I22, 60*2*PI()))</f>
        <v>5.6+25.0699093756465i</v>
      </c>
      <c r="L28" s="17"/>
    </row>
    <row r="29" spans="4:17" x14ac:dyDescent="0.15">
      <c r="D29">
        <v>-17.32</v>
      </c>
      <c r="H29" s="17" t="s">
        <v>39</v>
      </c>
      <c r="I29" t="str">
        <f>IMDIV(IMPRODUCT(I27, I28), IMSUM(I27, I28))</f>
        <v>1.86666756095846+8.34825487660781i</v>
      </c>
    </row>
    <row r="30" spans="4:17" x14ac:dyDescent="0.15">
      <c r="H30" s="17" t="s">
        <v>40</v>
      </c>
      <c r="I30" s="15">
        <f>I25+I24</f>
        <v>1.6500000000000001E-6</v>
      </c>
    </row>
    <row r="31" spans="4:17" x14ac:dyDescent="0.15">
      <c r="H31" s="17" t="s">
        <v>51</v>
      </c>
      <c r="I31" t="str">
        <f>COMPLEX(0,-1/(60*2*PI()*I30))</f>
        <v>-1607.62568779692i</v>
      </c>
    </row>
    <row r="33" spans="8:17" x14ac:dyDescent="0.15">
      <c r="H33" s="18" t="s">
        <v>61</v>
      </c>
      <c r="I33" s="14"/>
      <c r="K33" s="18" t="s">
        <v>41</v>
      </c>
      <c r="L33" s="18" t="s">
        <v>47</v>
      </c>
      <c r="M33" s="18" t="s">
        <v>42</v>
      </c>
      <c r="N33" s="18" t="s">
        <v>48</v>
      </c>
      <c r="O33" s="18" t="s">
        <v>44</v>
      </c>
      <c r="P33" s="18" t="s">
        <v>43</v>
      </c>
      <c r="Q33" s="18" t="s">
        <v>45</v>
      </c>
    </row>
    <row r="34" spans="8:17" x14ac:dyDescent="0.15">
      <c r="H34" t="s">
        <v>31</v>
      </c>
      <c r="I34">
        <v>1.1000000000000001</v>
      </c>
      <c r="K34" t="str">
        <f>IMDIV(IMPRODUCT(D2, $I$47), IMSUM(D2, $I$47))</f>
        <v>10.7530287110874+74.260869399968i</v>
      </c>
      <c r="L34" t="str">
        <f>IMDIV(K34, IMSUM($I$45, K34))</f>
        <v>0.946179162094167+0.00371268853184117i</v>
      </c>
      <c r="M34">
        <f>SQRT((IMAGINARY(L34) * IMAGINARY(L34)) + (IMREAL(L34) * IMREAL(L34)))</f>
        <v>0.94618644612853886</v>
      </c>
      <c r="N34">
        <f>ATAN(IMAGINARY(L34)/IMREAL(L34)) * (180/PI())</f>
        <v>0.22482030920868806</v>
      </c>
      <c r="O34" s="17">
        <f>(M34*12)/SQRT(2)</f>
        <v>8.0286582278914764</v>
      </c>
      <c r="P34">
        <f>O34/E2</f>
        <v>0.11095386564709082</v>
      </c>
      <c r="Q34">
        <f>N34-F2</f>
        <v>-81.831636200844599</v>
      </c>
    </row>
    <row r="35" spans="8:17" x14ac:dyDescent="0.15">
      <c r="H35" t="s">
        <v>32</v>
      </c>
      <c r="I35">
        <v>5.6</v>
      </c>
      <c r="K35" t="str">
        <f t="shared" ref="K35:K39" si="17">IMDIV(IMPRODUCT(D3, $I$47), IMSUM(D3, $I$47))</f>
        <v>10.5627256431573+55.739950834191i</v>
      </c>
      <c r="L35" t="str">
        <f t="shared" ref="L35:L39" si="18">IMDIV(K35, IMSUM($I$45, K35))</f>
        <v>0.929899910138355+0.00191162816622331i</v>
      </c>
      <c r="M35">
        <f t="shared" ref="M35:M39" si="19">SQRT((IMAGINARY(L35) * IMAGINARY(L35)) + (IMREAL(L35) * IMREAL(L35)))</f>
        <v>0.92990187503712818</v>
      </c>
      <c r="N35">
        <f t="shared" ref="N35:N39" si="20">ATAN(IMAGINARY(L35)/IMREAL(L35)) * (180/PI())</f>
        <v>0.11778479644815613</v>
      </c>
      <c r="O35" s="17">
        <f t="shared" ref="O35:O39" si="21">(M35*12)/SQRT(2)</f>
        <v>7.8904790601220656</v>
      </c>
      <c r="P35">
        <f t="shared" ref="P35:P39" si="22">O35/E3</f>
        <v>0.14294327164340115</v>
      </c>
      <c r="Q35">
        <f t="shared" ref="Q35:Q39" si="23">N35-F3</f>
        <v>-79.444929165528293</v>
      </c>
    </row>
    <row r="36" spans="8:17" x14ac:dyDescent="0.15">
      <c r="K36" t="str">
        <f t="shared" si="17"/>
        <v>10.5063364130084+50.2199783779116i</v>
      </c>
      <c r="L36" t="str">
        <f t="shared" si="18"/>
        <v>0.923035438755229+0.000736464585722849i</v>
      </c>
      <c r="M36">
        <f t="shared" si="19"/>
        <v>0.92303573255759941</v>
      </c>
      <c r="N36">
        <f t="shared" si="20"/>
        <v>4.5714716680448263E-2</v>
      </c>
      <c r="O36" s="17">
        <f t="shared" si="21"/>
        <v>7.8322179092276514</v>
      </c>
      <c r="P36">
        <f t="shared" si="22"/>
        <v>0.15647034950184421</v>
      </c>
      <c r="Q36">
        <f t="shared" si="23"/>
        <v>-78.430317865041516</v>
      </c>
    </row>
    <row r="37" spans="8:17" x14ac:dyDescent="0.15">
      <c r="H37" s="17" t="s">
        <v>35</v>
      </c>
      <c r="I37">
        <v>1.3299999999999999E-2</v>
      </c>
      <c r="K37" t="str">
        <f t="shared" si="17"/>
        <v>10.3968926976541+39.4640298052724i</v>
      </c>
      <c r="L37" t="str">
        <f t="shared" si="18"/>
        <v>0.905172745846987-0.00352076556783132i</v>
      </c>
      <c r="M37">
        <f t="shared" si="19"/>
        <v>0.90517959301696471</v>
      </c>
      <c r="N37">
        <f t="shared" si="20"/>
        <v>-0.22285689811673123</v>
      </c>
      <c r="O37" s="17">
        <f t="shared" si="21"/>
        <v>7.6807035409676994</v>
      </c>
      <c r="P37">
        <f t="shared" si="22"/>
        <v>0.19190213639738535</v>
      </c>
      <c r="Q37">
        <f t="shared" si="23"/>
        <v>-75.754239369636679</v>
      </c>
    </row>
    <row r="38" spans="8:17" x14ac:dyDescent="0.15">
      <c r="H38" s="17" t="s">
        <v>36</v>
      </c>
      <c r="I38">
        <v>6.6500000000000004E-2</v>
      </c>
      <c r="K38" t="str">
        <f t="shared" si="17"/>
        <v>10.315043812583+31.383003727936i</v>
      </c>
      <c r="L38" t="str">
        <f t="shared" si="18"/>
        <v>0.885739266647508-0.010241972115918i</v>
      </c>
      <c r="M38">
        <f t="shared" si="19"/>
        <v>0.88579847960700886</v>
      </c>
      <c r="N38">
        <f t="shared" si="20"/>
        <v>-0.66249250337239207</v>
      </c>
      <c r="O38" s="17">
        <f t="shared" si="21"/>
        <v>7.516249340338196</v>
      </c>
      <c r="P38">
        <f t="shared" si="22"/>
        <v>0.23108194917943853</v>
      </c>
      <c r="Q38">
        <f t="shared" si="23"/>
        <v>-72.757281348957406</v>
      </c>
    </row>
    <row r="39" spans="8:17" x14ac:dyDescent="0.15">
      <c r="K39" t="str">
        <f t="shared" si="17"/>
        <v>10.3857644918842+38.3672036085764i</v>
      </c>
      <c r="L39" t="str">
        <f t="shared" si="18"/>
        <v>0.902904831661163-0.00418935870941338i</v>
      </c>
      <c r="M39">
        <f t="shared" si="19"/>
        <v>0.90291455064334247</v>
      </c>
      <c r="N39">
        <f t="shared" si="20"/>
        <v>-0.26584291280519756</v>
      </c>
      <c r="O39" s="17">
        <f t="shared" si="21"/>
        <v>7.6614840191029421</v>
      </c>
      <c r="P39">
        <f t="shared" si="22"/>
        <v>0.19643390654301254</v>
      </c>
      <c r="Q39">
        <f t="shared" si="23"/>
        <v>-75.409791631893398</v>
      </c>
    </row>
    <row r="40" spans="8:17" x14ac:dyDescent="0.15">
      <c r="H40" s="17" t="s">
        <v>33</v>
      </c>
      <c r="I40" s="15">
        <v>2.2000000000000001E-7</v>
      </c>
    </row>
    <row r="41" spans="8:17" x14ac:dyDescent="0.15">
      <c r="H41" s="17" t="s">
        <v>34</v>
      </c>
      <c r="I41" s="16">
        <f>1100*10^-9</f>
        <v>1.1000000000000001E-6</v>
      </c>
    </row>
    <row r="43" spans="8:17" x14ac:dyDescent="0.15">
      <c r="H43" s="17" t="s">
        <v>37</v>
      </c>
      <c r="I43" t="str">
        <f>COMPLEX(I34, IMPRODUCT(I37, 60*2*PI()))</f>
        <v>1.1+5.01398187512931i</v>
      </c>
    </row>
    <row r="44" spans="8:17" x14ac:dyDescent="0.15">
      <c r="H44" s="17" t="s">
        <v>38</v>
      </c>
      <c r="I44" t="str">
        <f>COMPLEX(I35, IMPRODUCT(I38, 60*2*PI()))</f>
        <v>5.6+25.0699093756465i</v>
      </c>
    </row>
    <row r="45" spans="8:17" x14ac:dyDescent="0.15">
      <c r="H45" s="17" t="s">
        <v>39</v>
      </c>
      <c r="I45" t="str">
        <f>IMDIV(IMPRODUCT(I43, I44), IMSUM(I43, I44))</f>
        <v>0.919442485236812+4.17832702637732i</v>
      </c>
    </row>
    <row r="46" spans="8:17" x14ac:dyDescent="0.15">
      <c r="H46" s="17" t="s">
        <v>40</v>
      </c>
      <c r="I46" s="15">
        <f>I41+I40</f>
        <v>1.3200000000000001E-6</v>
      </c>
    </row>
    <row r="47" spans="8:17" x14ac:dyDescent="0.15">
      <c r="H47" s="17" t="s">
        <v>51</v>
      </c>
      <c r="I47" t="str">
        <f>COMPLEX(0,-1/(60*2*PI()*I46))</f>
        <v>-2009.53210974615i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Kramer</dc:creator>
  <cp:lastModifiedBy>Escobar, Jonas, M</cp:lastModifiedBy>
  <dcterms:created xsi:type="dcterms:W3CDTF">2015-03-02T16:00:03Z</dcterms:created>
  <dcterms:modified xsi:type="dcterms:W3CDTF">2022-04-19T20:34:25Z</dcterms:modified>
</cp:coreProperties>
</file>