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onasescobar/Desktop/Smart Grid Test Facility - Team 14 - ECE 2015 copy/Hardware Documentation/Transmission Lines/"/>
    </mc:Choice>
  </mc:AlternateContent>
  <xr:revisionPtr revIDLastSave="0" documentId="13_ncr:1_{02120F79-67FF-3E4A-A314-6BF6FB51B5A8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Final Specs" sheetId="2" r:id="rId1"/>
    <sheet name="Inductor Winding" sheetId="3" r:id="rId2"/>
    <sheet name="Synch Testing" sheetId="5" r:id="rId3"/>
    <sheet name="MSP430 Testing-Raw" sheetId="6" r:id="rId4"/>
    <sheet name="Alternator Testing" sheetId="7" r:id="rId5"/>
  </sheets>
  <definedNames>
    <definedName name="_xlnm.Print_Area" localSheetId="0">'Final Specs'!$A$44:$C$57</definedName>
    <definedName name="_xlnm.Print_Area" localSheetId="1">'Inductor Winding'!$A$1:$I$15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6" l="1"/>
  <c r="E10" i="6"/>
  <c r="E11" i="6"/>
  <c r="E5" i="6"/>
  <c r="E16" i="6" s="1"/>
  <c r="E6" i="6"/>
  <c r="E7" i="6"/>
  <c r="E8" i="6"/>
  <c r="E9" i="6"/>
  <c r="E4" i="6"/>
  <c r="G5" i="3"/>
  <c r="F5" i="3"/>
  <c r="D5" i="3"/>
  <c r="H5" i="3" s="1"/>
  <c r="D11" i="3"/>
  <c r="D12" i="3"/>
  <c r="D10" i="3"/>
  <c r="G4" i="3"/>
  <c r="H4" i="3" s="1"/>
  <c r="G3" i="3"/>
  <c r="H3" i="3" s="1"/>
  <c r="G32" i="2"/>
  <c r="E11" i="2"/>
  <c r="C32" i="2"/>
  <c r="E9" i="2"/>
  <c r="C31" i="2" s="1"/>
  <c r="E8" i="2"/>
  <c r="C30" i="2"/>
  <c r="G18" i="2"/>
  <c r="I18" i="2" s="1"/>
  <c r="G37" i="2"/>
  <c r="I37" i="2" s="1"/>
  <c r="G30" i="2"/>
  <c r="I30" i="2" s="1"/>
  <c r="C49" i="2" s="1"/>
  <c r="G31" i="2"/>
  <c r="I31" i="2"/>
  <c r="I32" i="2"/>
  <c r="G16" i="2"/>
  <c r="I16" i="2"/>
  <c r="G17" i="2"/>
  <c r="I17" i="2" s="1"/>
  <c r="G24" i="2"/>
  <c r="I24" i="2" s="1"/>
  <c r="G23" i="2"/>
  <c r="I23" i="2"/>
  <c r="G42" i="2"/>
  <c r="I42" i="2" s="1"/>
  <c r="C51" i="2" s="1"/>
  <c r="G25" i="2"/>
  <c r="I25" i="2"/>
  <c r="D18" i="2"/>
  <c r="D17" i="2"/>
  <c r="D16" i="2"/>
  <c r="B49" i="2"/>
  <c r="B48" i="2"/>
  <c r="B51" i="2"/>
  <c r="A9" i="2"/>
  <c r="A10" i="2" s="1"/>
  <c r="A11" i="2" s="1"/>
  <c r="D11" i="2"/>
  <c r="C11" i="2"/>
  <c r="E10" i="2"/>
  <c r="D10" i="2"/>
  <c r="C10" i="2"/>
  <c r="D9" i="2"/>
  <c r="C9" i="2"/>
  <c r="D8" i="2"/>
  <c r="C8" i="2"/>
  <c r="C47" i="2" l="1"/>
  <c r="C53" i="2" s="1"/>
  <c r="C55" i="2" s="1"/>
  <c r="C56" i="2"/>
  <c r="C50" i="2"/>
  <c r="B50" i="2"/>
  <c r="B47" i="2"/>
  <c r="B53" i="2" s="1"/>
</calcChain>
</file>

<file path=xl/sharedStrings.xml><?xml version="1.0" encoding="utf-8"?>
<sst xmlns="http://schemas.openxmlformats.org/spreadsheetml/2006/main" count="191" uniqueCount="128">
  <si>
    <t>FINAL TRANSMISSION LINE SPECS</t>
  </si>
  <si>
    <t>R (Ω/mi)</t>
  </si>
  <si>
    <t>TL No.</t>
  </si>
  <si>
    <t>Length (mi)</t>
  </si>
  <si>
    <t>R (Ω)</t>
  </si>
  <si>
    <t>L (mH)</t>
  </si>
  <si>
    <t xml:space="preserve"> TRANSMISSION LINE CHARACTERISTICS</t>
  </si>
  <si>
    <t>L (mH/mi)</t>
  </si>
  <si>
    <t>TERMINAL BLOCKS</t>
  </si>
  <si>
    <t>SWITCHES</t>
  </si>
  <si>
    <t xml:space="preserve">TB No. </t>
  </si>
  <si>
    <t>Part No.</t>
  </si>
  <si>
    <t>Quantity</t>
  </si>
  <si>
    <t>Switch No.</t>
  </si>
  <si>
    <t>ALL</t>
  </si>
  <si>
    <t>Quantity/PCB</t>
  </si>
  <si>
    <t>Quantity Total</t>
  </si>
  <si>
    <t>RESISTORS</t>
  </si>
  <si>
    <t>Extras</t>
  </si>
  <si>
    <t>PURCHASE ORDER SUMMARY</t>
  </si>
  <si>
    <t>R</t>
  </si>
  <si>
    <t>L</t>
  </si>
  <si>
    <t>C</t>
  </si>
  <si>
    <t>TB</t>
  </si>
  <si>
    <t>S</t>
  </si>
  <si>
    <t>Total:</t>
  </si>
  <si>
    <t>INDUCTORS</t>
  </si>
  <si>
    <t>CAPACITORS</t>
  </si>
  <si>
    <t>Type</t>
  </si>
  <si>
    <t>NOTES</t>
  </si>
  <si>
    <t>Resistance (Ω)</t>
  </si>
  <si>
    <t>Power Rating 
(W @ 2A)</t>
  </si>
  <si>
    <t>Inductance (mH)</t>
  </si>
  <si>
    <t>Current Rating  (A)</t>
  </si>
  <si>
    <t>Capacitance (uF)</t>
  </si>
  <si>
    <t>Terminals</t>
  </si>
  <si>
    <t>SM8035FT1R00CT-ND</t>
  </si>
  <si>
    <t>PWR163S-25-3R00J-ND</t>
  </si>
  <si>
    <t>CWI334-ND</t>
  </si>
  <si>
    <t>Y</t>
  </si>
  <si>
    <t>https://www.sparkfun.com/products/8432</t>
  </si>
  <si>
    <t>$/item</t>
  </si>
  <si>
    <t>Total $</t>
  </si>
  <si>
    <t>In Cart?</t>
  </si>
  <si>
    <t>Cost</t>
  </si>
  <si>
    <t>Y - other</t>
  </si>
  <si>
    <t>Digikey</t>
  </si>
  <si>
    <t>Sparkfun</t>
  </si>
  <si>
    <t>2 in series per PCB</t>
  </si>
  <si>
    <t>C (nF/mi)</t>
  </si>
  <si>
    <t>C (nF)</t>
  </si>
  <si>
    <t>Voltage Rating  (V)</t>
  </si>
  <si>
    <t>445-1318-1-ND</t>
  </si>
  <si>
    <t>490-5892-1-ND</t>
  </si>
  <si>
    <t>399-5090-1-ND</t>
  </si>
  <si>
    <t>5mm pitch</t>
  </si>
  <si>
    <t>Winding Our Own</t>
  </si>
  <si>
    <t>N TURNS CALCULATOR</t>
  </si>
  <si>
    <t>u</t>
  </si>
  <si>
    <t>No.</t>
  </si>
  <si>
    <t>Toroid</t>
  </si>
  <si>
    <t>http://www.digikey.com/product-detail/en/C1608X7R1C224K080AC/445-1318-1-ND/567690</t>
  </si>
  <si>
    <t>http://www.digikey.com/product-detail/en/GRM219R71C564KA01D/490-5892-1-ND/3482899</t>
  </si>
  <si>
    <t>http://www.digikey.com/product-detail/en/C0603C105K4PACTU/399-5090-1-ND/1465624</t>
  </si>
  <si>
    <t>R-avg (mm)</t>
  </si>
  <si>
    <t>A-cross</t>
  </si>
  <si>
    <t>N (# turns)</t>
  </si>
  <si>
    <t>Wire AWG</t>
  </si>
  <si>
    <t>T38, TDK</t>
  </si>
  <si>
    <t>Max Turns Per Toroid</t>
  </si>
  <si>
    <t>D Toroid (mm)</t>
  </si>
  <si>
    <t>D Wire</t>
  </si>
  <si>
    <t>Nmax</t>
  </si>
  <si>
    <t>Wire Size</t>
  </si>
  <si>
    <t>N30, TDK</t>
  </si>
  <si>
    <t>1 - 10mi</t>
  </si>
  <si>
    <t>4 - 50 mi</t>
  </si>
  <si>
    <t>2&amp;3 - 25 mi</t>
  </si>
  <si>
    <t>Max</t>
  </si>
  <si>
    <t>495-3868-ND</t>
  </si>
  <si>
    <t>495-3861-ND</t>
  </si>
  <si>
    <t>L - 10mi</t>
  </si>
  <si>
    <t>L - 25mi (top)</t>
  </si>
  <si>
    <t>L - 25mi</t>
  </si>
  <si>
    <t>L - 50 mi</t>
  </si>
  <si>
    <t>MEASURED VALUES OF SELF-WOUND INDUCTORS (mH)</t>
  </si>
  <si>
    <t>T-Line</t>
  </si>
  <si>
    <t>Generator Alone</t>
  </si>
  <si>
    <t>Load (Ω)</t>
  </si>
  <si>
    <t>Alternator Output Current (mA)</t>
  </si>
  <si>
    <t>Generator Output Current (A)</t>
  </si>
  <si>
    <t>Wall Adapter Output Current (A)</t>
  </si>
  <si>
    <t>Generator + Wall Adapter</t>
  </si>
  <si>
    <t>Outcome</t>
  </si>
  <si>
    <t>Frequency drops by ~20%</t>
  </si>
  <si>
    <t>~60Hz signal</t>
  </si>
  <si>
    <t>Frequency drops by ~5%</t>
  </si>
  <si>
    <t>Resistor melts</t>
  </si>
  <si>
    <t>Frequency drops by ~10%</t>
  </si>
  <si>
    <t>MSP430 Testing Data</t>
  </si>
  <si>
    <t>Frequency (Hz)</t>
  </si>
  <si>
    <t>Frequency (kHz)</t>
  </si>
  <si>
    <t>Output Signal (by MSP430)</t>
  </si>
  <si>
    <t>Input Signal (from Encoder)</t>
  </si>
  <si>
    <t>Alternator Frequency</t>
  </si>
  <si>
    <t>Duty Cycle (%) (Instantaneous)</t>
  </si>
  <si>
    <t>Factor</t>
  </si>
  <si>
    <t>avg</t>
  </si>
  <si>
    <t>add bracket</t>
  </si>
  <si>
    <t>Alternator 1</t>
  </si>
  <si>
    <t>Alternator 2</t>
  </si>
  <si>
    <t>15V Input</t>
  </si>
  <si>
    <t>16.5V Input</t>
  </si>
  <si>
    <t>Voltage (V)</t>
  </si>
  <si>
    <t>Alternator Measurements</t>
  </si>
  <si>
    <t>Transmission Line Configurations</t>
  </si>
  <si>
    <t>Load Point 1</t>
  </si>
  <si>
    <t>Load Point 2</t>
  </si>
  <si>
    <t>Switches ON</t>
  </si>
  <si>
    <t>Miles Simulated</t>
  </si>
  <si>
    <t>A</t>
  </si>
  <si>
    <t>B</t>
  </si>
  <si>
    <t>1, 6, 5</t>
  </si>
  <si>
    <t>D</t>
  </si>
  <si>
    <t>2, 3, 4</t>
  </si>
  <si>
    <t>1, 3, 4</t>
  </si>
  <si>
    <t>2, 6, 5</t>
  </si>
  <si>
    <t>winding our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</si>
</sst>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3" fillId="0" borderId="0" xfId="68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/>
    <xf numFmtId="11" fontId="0" fillId="4" borderId="1" xfId="0" applyNumberForma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3" fillId="0" borderId="0" xfId="68"/>
    <xf numFmtId="0" fontId="0" fillId="7" borderId="1" xfId="0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</cellXfs>
  <cellStyles count="1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gikey.com/scripts/DkSearch/dksus.dll?Detail&amp;itemSeq=167604490&amp;uq=635609278339648752&amp;CSRT=16876739212055281624" TargetMode="External"/><Relationship Id="rId1" Type="http://schemas.openxmlformats.org/officeDocument/2006/relationships/hyperlink" Target="http://www.digikey.com/scripts/DkSearch/dksus.dll?Detail&amp;itemSeq=167604242&amp;uq=635609270430861844&amp;CSRT=16876739212055281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6"/>
  <sheetViews>
    <sheetView tabSelected="1" zoomScale="125" zoomScaleNormal="125" zoomScalePageLayoutView="125" workbookViewId="0">
      <selection activeCell="L23" sqref="L23"/>
    </sheetView>
  </sheetViews>
  <sheetFormatPr baseColWidth="10" defaultRowHeight="16" x14ac:dyDescent="0.2"/>
  <cols>
    <col min="1" max="1" width="10.33203125" style="1" customWidth="1"/>
    <col min="2" max="2" width="17.5" style="1" customWidth="1"/>
    <col min="3" max="3" width="14.6640625" style="1" customWidth="1"/>
    <col min="4" max="4" width="15" style="1" customWidth="1"/>
    <col min="5" max="5" width="14.5" style="1" customWidth="1"/>
    <col min="6" max="6" width="11.6640625" style="1" customWidth="1"/>
    <col min="7" max="7" width="14.6640625" style="6" customWidth="1"/>
    <col min="8" max="8" width="7.83203125" style="6" customWidth="1"/>
    <col min="9" max="9" width="7" style="6" customWidth="1"/>
    <col min="10" max="10" width="11.33203125" style="6" customWidth="1"/>
    <col min="11" max="11" width="4.5" style="1" customWidth="1"/>
    <col min="12" max="12" width="19.6640625" style="6" customWidth="1"/>
    <col min="13" max="16384" width="10.83203125" style="1"/>
  </cols>
  <sheetData>
    <row r="1" spans="1:12" x14ac:dyDescent="0.2">
      <c r="A1" s="43" t="s">
        <v>6</v>
      </c>
      <c r="B1" s="43"/>
      <c r="C1" s="43"/>
      <c r="D1" s="5"/>
      <c r="E1" s="2"/>
    </row>
    <row r="2" spans="1:12" x14ac:dyDescent="0.2">
      <c r="A2" s="7" t="s">
        <v>1</v>
      </c>
      <c r="B2" s="7" t="s">
        <v>7</v>
      </c>
      <c r="C2" s="7" t="s">
        <v>49</v>
      </c>
      <c r="D2" s="4"/>
    </row>
    <row r="3" spans="1:12" x14ac:dyDescent="0.2">
      <c r="A3" s="3">
        <v>0.1128</v>
      </c>
      <c r="B3" s="3">
        <v>1.329</v>
      </c>
      <c r="C3" s="3">
        <v>22</v>
      </c>
      <c r="D3" s="4"/>
    </row>
    <row r="4" spans="1:12" x14ac:dyDescent="0.2">
      <c r="A4" s="4"/>
      <c r="B4" s="4"/>
      <c r="C4" s="4"/>
      <c r="D4" s="4"/>
    </row>
    <row r="6" spans="1:12" x14ac:dyDescent="0.2">
      <c r="A6" s="43" t="s">
        <v>0</v>
      </c>
      <c r="B6" s="43"/>
      <c r="C6" s="43"/>
      <c r="D6" s="43"/>
      <c r="E6" s="43"/>
      <c r="L6" s="8" t="s">
        <v>29</v>
      </c>
    </row>
    <row r="7" spans="1:12" x14ac:dyDescent="0.2">
      <c r="A7" s="7" t="s">
        <v>2</v>
      </c>
      <c r="B7" s="7" t="s">
        <v>3</v>
      </c>
      <c r="C7" s="7" t="s">
        <v>4</v>
      </c>
      <c r="D7" s="7" t="s">
        <v>5</v>
      </c>
      <c r="E7" s="7" t="s">
        <v>50</v>
      </c>
    </row>
    <row r="8" spans="1:12" x14ac:dyDescent="0.2">
      <c r="A8" s="3">
        <v>1</v>
      </c>
      <c r="B8" s="3">
        <v>10</v>
      </c>
      <c r="C8" s="3">
        <f>ROUND(A3*B8,1)</f>
        <v>1.1000000000000001</v>
      </c>
      <c r="D8" s="3">
        <f>ROUND(B3*B8,1)</f>
        <v>13.3</v>
      </c>
      <c r="E8" s="3">
        <f>C3*B8</f>
        <v>220</v>
      </c>
    </row>
    <row r="9" spans="1:12" x14ac:dyDescent="0.2">
      <c r="A9" s="3">
        <f t="shared" ref="A9:A11" si="0">A8+1</f>
        <v>2</v>
      </c>
      <c r="B9" s="3">
        <v>25</v>
      </c>
      <c r="C9" s="3">
        <f>ROUND(A3*B9,1)</f>
        <v>2.8</v>
      </c>
      <c r="D9" s="3">
        <f>ROUND(B3*B9,1)</f>
        <v>33.200000000000003</v>
      </c>
      <c r="E9" s="3">
        <f>B9*C3</f>
        <v>550</v>
      </c>
    </row>
    <row r="10" spans="1:12" x14ac:dyDescent="0.2">
      <c r="A10" s="3">
        <f t="shared" si="0"/>
        <v>3</v>
      </c>
      <c r="B10" s="3">
        <v>25</v>
      </c>
      <c r="C10" s="3">
        <f>ROUND(A3*B10,1)</f>
        <v>2.8</v>
      </c>
      <c r="D10" s="3">
        <f>ROUND(B10*B3,1)</f>
        <v>33.200000000000003</v>
      </c>
      <c r="E10" s="3">
        <f>C3*B10</f>
        <v>550</v>
      </c>
    </row>
    <row r="11" spans="1:12" x14ac:dyDescent="0.2">
      <c r="A11" s="3">
        <f t="shared" si="0"/>
        <v>4</v>
      </c>
      <c r="B11" s="3">
        <v>50</v>
      </c>
      <c r="C11" s="3">
        <f>ROUND(A3*B11,1)</f>
        <v>5.6</v>
      </c>
      <c r="D11" s="3">
        <f>ROUND(B3*B11,1)</f>
        <v>66.5</v>
      </c>
      <c r="E11" s="3">
        <f>B11*C3</f>
        <v>1100</v>
      </c>
    </row>
    <row r="12" spans="1:12" x14ac:dyDescent="0.2">
      <c r="A12" s="4"/>
      <c r="B12" s="4"/>
      <c r="C12" s="4"/>
      <c r="D12" s="4"/>
      <c r="E12" s="4"/>
    </row>
    <row r="13" spans="1:12" x14ac:dyDescent="0.2">
      <c r="A13" s="4"/>
      <c r="B13" s="4"/>
      <c r="C13" s="4"/>
      <c r="D13" s="4"/>
      <c r="E13" s="4"/>
    </row>
    <row r="14" spans="1:12" x14ac:dyDescent="0.2">
      <c r="A14" s="40" t="s">
        <v>17</v>
      </c>
      <c r="B14" s="41"/>
      <c r="C14" s="41"/>
      <c r="D14" s="41"/>
      <c r="E14" s="41"/>
      <c r="F14" s="41"/>
      <c r="G14" s="41"/>
      <c r="H14" s="41"/>
      <c r="I14" s="41"/>
      <c r="J14" s="42"/>
    </row>
    <row r="15" spans="1:12" ht="34" x14ac:dyDescent="0.2">
      <c r="A15" s="7" t="s">
        <v>2</v>
      </c>
      <c r="B15" s="7" t="s">
        <v>11</v>
      </c>
      <c r="C15" s="7" t="s">
        <v>30</v>
      </c>
      <c r="D15" s="9" t="s">
        <v>31</v>
      </c>
      <c r="E15" s="7" t="s">
        <v>15</v>
      </c>
      <c r="F15" s="7" t="s">
        <v>18</v>
      </c>
      <c r="G15" s="7" t="s">
        <v>16</v>
      </c>
      <c r="H15" s="7" t="s">
        <v>41</v>
      </c>
      <c r="I15" s="7" t="s">
        <v>42</v>
      </c>
      <c r="J15" s="7" t="s">
        <v>43</v>
      </c>
    </row>
    <row r="16" spans="1:12" x14ac:dyDescent="0.2">
      <c r="A16" s="3">
        <v>1</v>
      </c>
      <c r="B16" s="3" t="s">
        <v>36</v>
      </c>
      <c r="C16" s="3">
        <v>1</v>
      </c>
      <c r="D16" s="3">
        <f>4*C16</f>
        <v>4</v>
      </c>
      <c r="E16" s="3">
        <v>1</v>
      </c>
      <c r="F16" s="3">
        <v>1</v>
      </c>
      <c r="G16" s="3">
        <f>(3*E16 + F16)</f>
        <v>4</v>
      </c>
      <c r="H16" s="3">
        <v>1.44</v>
      </c>
      <c r="I16" s="3">
        <f>H16*G16</f>
        <v>5.76</v>
      </c>
      <c r="J16" s="3" t="s">
        <v>39</v>
      </c>
    </row>
    <row r="17" spans="1:12" x14ac:dyDescent="0.2">
      <c r="A17" s="3">
        <v>2</v>
      </c>
      <c r="B17" s="3" t="s">
        <v>37</v>
      </c>
      <c r="C17" s="3">
        <v>3</v>
      </c>
      <c r="D17" s="3">
        <f>4*C17</f>
        <v>12</v>
      </c>
      <c r="E17" s="3">
        <v>2</v>
      </c>
      <c r="F17" s="3">
        <v>1</v>
      </c>
      <c r="G17" s="3">
        <f>(3*E17 + F17)</f>
        <v>7</v>
      </c>
      <c r="H17" s="3">
        <v>2.64</v>
      </c>
      <c r="I17" s="3">
        <f t="shared" ref="I17:I18" si="1">H17*G17</f>
        <v>18.48</v>
      </c>
      <c r="J17" s="3" t="s">
        <v>39</v>
      </c>
    </row>
    <row r="18" spans="1:12" x14ac:dyDescent="0.2">
      <c r="A18" s="3">
        <v>4</v>
      </c>
      <c r="B18" s="3" t="s">
        <v>37</v>
      </c>
      <c r="C18" s="3">
        <v>6</v>
      </c>
      <c r="D18" s="3">
        <f>4*C18</f>
        <v>24</v>
      </c>
      <c r="E18" s="3">
        <v>2</v>
      </c>
      <c r="F18" s="3">
        <v>0</v>
      </c>
      <c r="G18" s="3">
        <f>(3*E18 + F18)</f>
        <v>6</v>
      </c>
      <c r="H18" s="3">
        <v>2.64</v>
      </c>
      <c r="I18" s="3">
        <f t="shared" si="1"/>
        <v>15.84</v>
      </c>
      <c r="J18" s="3" t="s">
        <v>39</v>
      </c>
      <c r="L18" s="6" t="s">
        <v>48</v>
      </c>
    </row>
    <row r="19" spans="1:12" x14ac:dyDescent="0.2">
      <c r="A19" s="4"/>
      <c r="B19" s="4"/>
      <c r="C19" s="4"/>
      <c r="D19" s="4"/>
      <c r="E19" s="4"/>
    </row>
    <row r="20" spans="1:12" x14ac:dyDescent="0.2">
      <c r="A20" s="4"/>
      <c r="B20" s="4"/>
      <c r="C20" s="4"/>
      <c r="D20" s="4"/>
      <c r="E20" s="4"/>
    </row>
    <row r="21" spans="1:12" x14ac:dyDescent="0.2">
      <c r="A21" s="40" t="s">
        <v>26</v>
      </c>
      <c r="B21" s="41"/>
      <c r="C21" s="41"/>
      <c r="D21" s="41"/>
      <c r="E21" s="41"/>
      <c r="F21" s="41"/>
      <c r="G21" s="41"/>
      <c r="H21" s="41"/>
      <c r="I21" s="41"/>
      <c r="J21" s="42"/>
    </row>
    <row r="22" spans="1:12" ht="34" x14ac:dyDescent="0.2">
      <c r="A22" s="7" t="s">
        <v>2</v>
      </c>
      <c r="B22" s="7" t="s">
        <v>11</v>
      </c>
      <c r="C22" s="7" t="s">
        <v>32</v>
      </c>
      <c r="D22" s="9" t="s">
        <v>33</v>
      </c>
      <c r="E22" s="7" t="s">
        <v>15</v>
      </c>
      <c r="F22" s="7" t="s">
        <v>18</v>
      </c>
      <c r="G22" s="7" t="s">
        <v>16</v>
      </c>
      <c r="H22" s="7" t="s">
        <v>41</v>
      </c>
      <c r="I22" s="7" t="s">
        <v>42</v>
      </c>
      <c r="J22" s="7" t="s">
        <v>43</v>
      </c>
      <c r="L22" s="6" t="s">
        <v>127</v>
      </c>
    </row>
    <row r="23" spans="1:12" x14ac:dyDescent="0.2">
      <c r="A23" s="3">
        <v>1</v>
      </c>
      <c r="B23" s="3" t="s">
        <v>56</v>
      </c>
      <c r="C23" s="3">
        <v>13</v>
      </c>
      <c r="D23" s="3">
        <v>2</v>
      </c>
      <c r="E23" s="3">
        <v>1</v>
      </c>
      <c r="F23" s="3">
        <v>0</v>
      </c>
      <c r="G23" s="3">
        <f>(3*E23 + F23)</f>
        <v>3</v>
      </c>
      <c r="H23" s="3"/>
      <c r="I23" s="3">
        <f>H23*G23</f>
        <v>0</v>
      </c>
      <c r="J23" s="3"/>
    </row>
    <row r="24" spans="1:12" x14ac:dyDescent="0.2">
      <c r="A24" s="3">
        <v>2</v>
      </c>
      <c r="B24" s="3" t="s">
        <v>56</v>
      </c>
      <c r="C24" s="3">
        <v>33</v>
      </c>
      <c r="D24" s="3">
        <v>2</v>
      </c>
      <c r="E24" s="3">
        <v>2</v>
      </c>
      <c r="F24" s="3">
        <v>0</v>
      </c>
      <c r="G24" s="3">
        <f>(3*E24 + F24)</f>
        <v>6</v>
      </c>
      <c r="H24" s="3"/>
      <c r="I24" s="3">
        <f t="shared" ref="I24:I25" si="2">H24*G24</f>
        <v>0</v>
      </c>
      <c r="J24" s="3"/>
      <c r="L24" s="13"/>
    </row>
    <row r="25" spans="1:12" x14ac:dyDescent="0.2">
      <c r="A25" s="3">
        <v>4</v>
      </c>
      <c r="B25" s="3" t="s">
        <v>56</v>
      </c>
      <c r="C25" s="3">
        <v>67</v>
      </c>
      <c r="D25" s="3">
        <v>2</v>
      </c>
      <c r="E25" s="3">
        <v>1</v>
      </c>
      <c r="F25" s="3">
        <v>0</v>
      </c>
      <c r="G25" s="3">
        <f>(3*E25 + 1)</f>
        <v>4</v>
      </c>
      <c r="H25" s="3"/>
      <c r="I25" s="3">
        <f t="shared" si="2"/>
        <v>0</v>
      </c>
      <c r="J25" s="3"/>
    </row>
    <row r="26" spans="1:12" x14ac:dyDescent="0.2">
      <c r="A26" s="4"/>
      <c r="B26" s="4"/>
      <c r="C26" s="4"/>
      <c r="D26" s="4"/>
      <c r="E26" s="4"/>
    </row>
    <row r="27" spans="1:12" x14ac:dyDescent="0.2">
      <c r="A27" s="4"/>
      <c r="B27" s="4"/>
      <c r="C27" s="4"/>
      <c r="D27" s="4"/>
      <c r="E27" s="4"/>
    </row>
    <row r="28" spans="1:12" x14ac:dyDescent="0.2">
      <c r="A28" s="40" t="s">
        <v>27</v>
      </c>
      <c r="B28" s="41"/>
      <c r="C28" s="41"/>
      <c r="D28" s="41"/>
      <c r="E28" s="41"/>
      <c r="F28" s="41"/>
      <c r="G28" s="41"/>
      <c r="H28" s="41"/>
      <c r="I28" s="41"/>
      <c r="J28" s="42"/>
    </row>
    <row r="29" spans="1:12" ht="34" x14ac:dyDescent="0.2">
      <c r="A29" s="7" t="s">
        <v>2</v>
      </c>
      <c r="B29" s="7" t="s">
        <v>11</v>
      </c>
      <c r="C29" s="7" t="s">
        <v>34</v>
      </c>
      <c r="D29" s="9" t="s">
        <v>51</v>
      </c>
      <c r="E29" s="7" t="s">
        <v>15</v>
      </c>
      <c r="F29" s="7" t="s">
        <v>18</v>
      </c>
      <c r="G29" s="7" t="s">
        <v>16</v>
      </c>
      <c r="H29" s="7" t="s">
        <v>41</v>
      </c>
      <c r="I29" s="7" t="s">
        <v>42</v>
      </c>
      <c r="J29" s="7" t="s">
        <v>43</v>
      </c>
    </row>
    <row r="30" spans="1:12" x14ac:dyDescent="0.2">
      <c r="A30" s="3">
        <v>1</v>
      </c>
      <c r="B30" s="3" t="s">
        <v>52</v>
      </c>
      <c r="C30" s="3">
        <f>E8*10^-3</f>
        <v>0.22</v>
      </c>
      <c r="D30" s="3">
        <v>16</v>
      </c>
      <c r="E30" s="3">
        <v>1</v>
      </c>
      <c r="F30" s="3">
        <v>3</v>
      </c>
      <c r="G30" s="3">
        <f>(3*E30 + F30)</f>
        <v>6</v>
      </c>
      <c r="H30" s="3">
        <v>0.1</v>
      </c>
      <c r="I30" s="3">
        <f>H30*G30</f>
        <v>0.60000000000000009</v>
      </c>
      <c r="J30" s="3" t="s">
        <v>39</v>
      </c>
      <c r="L30" s="6" t="s">
        <v>61</v>
      </c>
    </row>
    <row r="31" spans="1:12" x14ac:dyDescent="0.2">
      <c r="A31" s="3">
        <v>2</v>
      </c>
      <c r="B31" s="3" t="s">
        <v>53</v>
      </c>
      <c r="C31" s="3">
        <f>E9*10^-3</f>
        <v>0.55000000000000004</v>
      </c>
      <c r="D31" s="3">
        <v>16</v>
      </c>
      <c r="E31" s="3">
        <v>2</v>
      </c>
      <c r="F31" s="3">
        <v>3</v>
      </c>
      <c r="G31" s="3">
        <f>(3*E31 + F31)</f>
        <v>9</v>
      </c>
      <c r="H31" s="3">
        <v>0.32</v>
      </c>
      <c r="I31" s="3">
        <f t="shared" ref="I31:I32" si="3">H31*G31</f>
        <v>2.88</v>
      </c>
      <c r="J31" s="3" t="s">
        <v>39</v>
      </c>
      <c r="L31" s="6" t="s">
        <v>62</v>
      </c>
    </row>
    <row r="32" spans="1:12" x14ac:dyDescent="0.2">
      <c r="A32" s="3">
        <v>4</v>
      </c>
      <c r="B32" s="3" t="s">
        <v>54</v>
      </c>
      <c r="C32" s="3">
        <f>E11*10^-3</f>
        <v>1.1000000000000001</v>
      </c>
      <c r="D32" s="3">
        <v>16</v>
      </c>
      <c r="E32" s="3">
        <v>1</v>
      </c>
      <c r="F32" s="3">
        <v>3</v>
      </c>
      <c r="G32" s="3">
        <f>(3*E32 + F32)</f>
        <v>6</v>
      </c>
      <c r="H32" s="3">
        <v>0.11</v>
      </c>
      <c r="I32" s="3">
        <f t="shared" si="3"/>
        <v>0.66</v>
      </c>
      <c r="J32" s="3" t="s">
        <v>39</v>
      </c>
      <c r="L32" s="6" t="s">
        <v>63</v>
      </c>
    </row>
    <row r="33" spans="1:12" x14ac:dyDescent="0.2">
      <c r="A33" s="4"/>
      <c r="B33" s="4"/>
      <c r="C33" s="4"/>
      <c r="D33" s="4"/>
      <c r="E33" s="4"/>
    </row>
    <row r="35" spans="1:12" x14ac:dyDescent="0.2">
      <c r="A35" s="40" t="s">
        <v>8</v>
      </c>
      <c r="B35" s="41"/>
      <c r="C35" s="41"/>
      <c r="D35" s="41"/>
      <c r="E35" s="41"/>
      <c r="F35" s="41"/>
      <c r="G35" s="41"/>
      <c r="H35" s="41"/>
      <c r="I35" s="41"/>
      <c r="J35" s="42"/>
    </row>
    <row r="36" spans="1:12" ht="34" x14ac:dyDescent="0.2">
      <c r="A36" s="7" t="s">
        <v>10</v>
      </c>
      <c r="B36" s="7" t="s">
        <v>11</v>
      </c>
      <c r="C36" s="7" t="s">
        <v>35</v>
      </c>
      <c r="D36" s="9" t="s">
        <v>33</v>
      </c>
      <c r="E36" s="7" t="s">
        <v>15</v>
      </c>
      <c r="F36" s="7" t="s">
        <v>18</v>
      </c>
      <c r="G36" s="7" t="s">
        <v>16</v>
      </c>
      <c r="H36" s="7" t="s">
        <v>41</v>
      </c>
      <c r="I36" s="7" t="s">
        <v>42</v>
      </c>
      <c r="J36" s="7" t="s">
        <v>43</v>
      </c>
    </row>
    <row r="37" spans="1:12" ht="51" x14ac:dyDescent="0.2">
      <c r="A37" s="3" t="s">
        <v>14</v>
      </c>
      <c r="B37" s="12" t="s">
        <v>40</v>
      </c>
      <c r="C37" s="3">
        <v>2</v>
      </c>
      <c r="D37" s="3">
        <v>2</v>
      </c>
      <c r="E37" s="3">
        <v>4</v>
      </c>
      <c r="F37" s="3">
        <v>0</v>
      </c>
      <c r="G37" s="3">
        <f>(3*E37 + F37)</f>
        <v>12</v>
      </c>
      <c r="H37" s="3">
        <v>0.95</v>
      </c>
      <c r="I37" s="3">
        <f>H37*G37</f>
        <v>11.399999999999999</v>
      </c>
      <c r="J37" s="3" t="s">
        <v>45</v>
      </c>
      <c r="L37" s="6" t="s">
        <v>55</v>
      </c>
    </row>
    <row r="40" spans="1:12" x14ac:dyDescent="0.2">
      <c r="A40" s="40" t="s">
        <v>9</v>
      </c>
      <c r="B40" s="41"/>
      <c r="C40" s="41"/>
      <c r="D40" s="41"/>
      <c r="E40" s="41"/>
      <c r="F40" s="41"/>
      <c r="G40" s="41"/>
      <c r="H40" s="41"/>
      <c r="I40" s="41"/>
      <c r="J40" s="42"/>
    </row>
    <row r="41" spans="1:12" ht="34" x14ac:dyDescent="0.2">
      <c r="A41" s="10" t="s">
        <v>13</v>
      </c>
      <c r="B41" s="10" t="s">
        <v>11</v>
      </c>
      <c r="C41" s="7" t="s">
        <v>35</v>
      </c>
      <c r="D41" s="9" t="s">
        <v>33</v>
      </c>
      <c r="E41" s="10" t="s">
        <v>15</v>
      </c>
      <c r="F41" s="10" t="s">
        <v>18</v>
      </c>
      <c r="G41" s="10" t="s">
        <v>16</v>
      </c>
      <c r="H41" s="7" t="s">
        <v>41</v>
      </c>
      <c r="I41" s="7" t="s">
        <v>42</v>
      </c>
      <c r="J41" s="7" t="s">
        <v>43</v>
      </c>
    </row>
    <row r="42" spans="1:12" x14ac:dyDescent="0.2">
      <c r="A42" s="3" t="s">
        <v>14</v>
      </c>
      <c r="B42" s="3" t="s">
        <v>38</v>
      </c>
      <c r="C42" s="3">
        <v>2</v>
      </c>
      <c r="D42" s="3">
        <v>2</v>
      </c>
      <c r="E42" s="3">
        <v>6</v>
      </c>
      <c r="F42" s="3">
        <v>4</v>
      </c>
      <c r="G42" s="3">
        <f>(3*E42 + F42)</f>
        <v>22</v>
      </c>
      <c r="H42" s="3">
        <v>0.6</v>
      </c>
      <c r="I42" s="3">
        <f>H42*G42</f>
        <v>13.2</v>
      </c>
      <c r="J42" s="3" t="s">
        <v>39</v>
      </c>
      <c r="L42" s="11"/>
    </row>
    <row r="45" spans="1:12" x14ac:dyDescent="0.2">
      <c r="A45" s="43" t="s">
        <v>19</v>
      </c>
      <c r="B45" s="43"/>
      <c r="C45" s="43"/>
    </row>
    <row r="46" spans="1:12" x14ac:dyDescent="0.2">
      <c r="A46" s="7" t="s">
        <v>28</v>
      </c>
      <c r="B46" s="7" t="s">
        <v>12</v>
      </c>
      <c r="C46" s="7" t="s">
        <v>44</v>
      </c>
    </row>
    <row r="47" spans="1:12" x14ac:dyDescent="0.2">
      <c r="A47" s="3" t="s">
        <v>20</v>
      </c>
      <c r="B47" s="3">
        <f>G16+G17+G18</f>
        <v>17</v>
      </c>
      <c r="C47" s="3">
        <f>SUM(I16:I18)</f>
        <v>40.08</v>
      </c>
    </row>
    <row r="48" spans="1:12" x14ac:dyDescent="0.2">
      <c r="A48" s="3" t="s">
        <v>21</v>
      </c>
      <c r="B48" s="3">
        <f>G23+G24+G25</f>
        <v>13</v>
      </c>
      <c r="C48" s="3">
        <v>0</v>
      </c>
      <c r="D48" s="6"/>
    </row>
    <row r="49" spans="1:3" x14ac:dyDescent="0.2">
      <c r="A49" s="3" t="s">
        <v>22</v>
      </c>
      <c r="B49" s="3">
        <f>G30+G31+G32</f>
        <v>21</v>
      </c>
      <c r="C49" s="3">
        <f>SUM(I30:I32)</f>
        <v>4.1399999999999997</v>
      </c>
    </row>
    <row r="50" spans="1:3" x14ac:dyDescent="0.2">
      <c r="A50" s="3" t="s">
        <v>23</v>
      </c>
      <c r="B50" s="3">
        <f>G37</f>
        <v>12</v>
      </c>
      <c r="C50" s="3">
        <f>SUM(I37)</f>
        <v>11.399999999999999</v>
      </c>
    </row>
    <row r="51" spans="1:3" x14ac:dyDescent="0.2">
      <c r="A51" s="3" t="s">
        <v>24</v>
      </c>
      <c r="B51" s="3">
        <f>G42</f>
        <v>22</v>
      </c>
      <c r="C51" s="3">
        <f>SUM(I42)</f>
        <v>13.2</v>
      </c>
    </row>
    <row r="52" spans="1:3" x14ac:dyDescent="0.2">
      <c r="A52" s="3"/>
      <c r="B52" s="3"/>
      <c r="C52" s="3"/>
    </row>
    <row r="53" spans="1:3" x14ac:dyDescent="0.2">
      <c r="A53" s="7" t="s">
        <v>25</v>
      </c>
      <c r="B53" s="3">
        <f>SUM(B47:B51)</f>
        <v>85</v>
      </c>
      <c r="C53" s="3">
        <f>SUM(C47:C51)</f>
        <v>68.819999999999993</v>
      </c>
    </row>
    <row r="55" spans="1:3" x14ac:dyDescent="0.2">
      <c r="A55" s="7" t="s">
        <v>46</v>
      </c>
      <c r="C55" s="3">
        <f>C53-I37</f>
        <v>57.419999999999995</v>
      </c>
    </row>
    <row r="56" spans="1:3" x14ac:dyDescent="0.2">
      <c r="A56" s="7" t="s">
        <v>47</v>
      </c>
      <c r="C56" s="3">
        <f>I37</f>
        <v>11.399999999999999</v>
      </c>
    </row>
  </sheetData>
  <mergeCells count="8">
    <mergeCell ref="A35:J35"/>
    <mergeCell ref="A40:J40"/>
    <mergeCell ref="A45:C45"/>
    <mergeCell ref="A1:C1"/>
    <mergeCell ref="A6:E6"/>
    <mergeCell ref="A14:J14"/>
    <mergeCell ref="A21:J21"/>
    <mergeCell ref="A28:J28"/>
  </mergeCells>
  <phoneticPr fontId="5" type="noConversion"/>
  <pageMargins left="0.75" right="0.75" top="1" bottom="1" header="0.5" footer="0.5"/>
  <pageSetup fitToHeight="0" orientation="portrait" horizontalDpi="4294967292" verticalDpi="4294967292"/>
  <colBreaks count="1" manualBreakCount="1">
    <brk id="11" max="1048575" man="1"/>
  </colBreaks>
  <extLst>
    <ext xmlns:mx="http://schemas.microsoft.com/office/mac/excel/2008/main" uri="{64002731-A6B0-56B0-2670-7721B7C09600}">
      <mx:PLV Mode="0" OnePage="0" WScale="61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zoomScale="125" zoomScaleNormal="125" zoomScalePageLayoutView="125" workbookViewId="0">
      <selection activeCell="D30" sqref="D30"/>
    </sheetView>
  </sheetViews>
  <sheetFormatPr baseColWidth="10" defaultRowHeight="16" x14ac:dyDescent="0.2"/>
  <cols>
    <col min="1" max="2" width="15" customWidth="1"/>
    <col min="3" max="3" width="12.33203125" customWidth="1"/>
    <col min="4" max="4" width="12.1640625" customWidth="1"/>
    <col min="5" max="5" width="13.83203125" style="14" customWidth="1"/>
    <col min="6" max="6" width="12.6640625" style="28" bestFit="1" customWidth="1"/>
    <col min="9" max="9" width="10.83203125" style="15"/>
  </cols>
  <sheetData>
    <row r="1" spans="1:10" x14ac:dyDescent="0.2">
      <c r="A1" s="44" t="s">
        <v>57</v>
      </c>
      <c r="B1" s="44"/>
      <c r="C1" s="44"/>
      <c r="D1" s="44"/>
      <c r="E1" s="44"/>
      <c r="F1" s="44"/>
      <c r="G1" s="44"/>
      <c r="H1" s="44"/>
      <c r="J1" s="25"/>
    </row>
    <row r="2" spans="1:10" x14ac:dyDescent="0.2">
      <c r="A2" s="16" t="s">
        <v>59</v>
      </c>
      <c r="B2" s="16" t="s">
        <v>60</v>
      </c>
      <c r="C2" s="16" t="s">
        <v>67</v>
      </c>
      <c r="D2" s="18" t="s">
        <v>64</v>
      </c>
      <c r="E2" s="16" t="s">
        <v>5</v>
      </c>
      <c r="F2" s="26" t="s">
        <v>65</v>
      </c>
      <c r="G2" s="16" t="s">
        <v>58</v>
      </c>
      <c r="H2" s="16" t="s">
        <v>66</v>
      </c>
      <c r="I2" s="23" t="s">
        <v>78</v>
      </c>
      <c r="J2" s="25"/>
    </row>
    <row r="3" spans="1:10" x14ac:dyDescent="0.2">
      <c r="A3" s="3" t="s">
        <v>75</v>
      </c>
      <c r="B3" s="3" t="s">
        <v>68</v>
      </c>
      <c r="C3" s="3">
        <v>22</v>
      </c>
      <c r="D3" s="19">
        <v>10.025</v>
      </c>
      <c r="E3" s="3">
        <v>13.3</v>
      </c>
      <c r="F3" s="17">
        <v>5.2500000000000002E-5</v>
      </c>
      <c r="G3" s="3">
        <f>10000*4*3.14159*10^-7</f>
        <v>1.2566359999999999E-2</v>
      </c>
      <c r="H3" s="3">
        <f>ROUND(SQRT((2*3.14159*D3*10^-3*E3*10^-3)/(F3*G3)),2)</f>
        <v>35.630000000000003</v>
      </c>
      <c r="I3" s="24">
        <v>72.099999999999994</v>
      </c>
      <c r="J3" s="25"/>
    </row>
    <row r="4" spans="1:10" x14ac:dyDescent="0.2">
      <c r="A4" s="3" t="s">
        <v>77</v>
      </c>
      <c r="B4" s="3" t="s">
        <v>68</v>
      </c>
      <c r="C4" s="3">
        <v>22</v>
      </c>
      <c r="D4" s="19">
        <v>10.025</v>
      </c>
      <c r="E4" s="3">
        <v>33.200000000000003</v>
      </c>
      <c r="F4" s="17">
        <v>5.2500000000000002E-5</v>
      </c>
      <c r="G4" s="3">
        <f>10000*4*3.14159*10^-7</f>
        <v>1.2566359999999999E-2</v>
      </c>
      <c r="H4" s="3">
        <f>ROUND(SQRT((2*3.14159*D4*10^-3*E4*10^-3)/(F4*G4)),2)</f>
        <v>56.3</v>
      </c>
      <c r="I4" s="24">
        <v>72.099999999999994</v>
      </c>
      <c r="J4" s="29" t="s">
        <v>80</v>
      </c>
    </row>
    <row r="5" spans="1:10" x14ac:dyDescent="0.2">
      <c r="A5" s="3" t="s">
        <v>76</v>
      </c>
      <c r="B5" s="3" t="s">
        <v>74</v>
      </c>
      <c r="C5" s="3">
        <v>22</v>
      </c>
      <c r="D5" s="19">
        <f>(18-11.5)/2 + 11.5</f>
        <v>14.75</v>
      </c>
      <c r="E5" s="3">
        <v>66.5</v>
      </c>
      <c r="F5" s="17">
        <f>(15*10^-3)*10^-3*(36-23)/2</f>
        <v>9.7499999999999998E-5</v>
      </c>
      <c r="G5" s="3">
        <f>10000*4*3.14159*10^-7</f>
        <v>1.2566359999999999E-2</v>
      </c>
      <c r="H5" s="3">
        <f>ROUND(SQRT((2*3.14159*D5*10^-3*E5*10^-3)/(F5*G5)),2)</f>
        <v>70.92</v>
      </c>
      <c r="I5" s="15">
        <v>112</v>
      </c>
      <c r="J5" s="29" t="s">
        <v>79</v>
      </c>
    </row>
    <row r="6" spans="1:10" x14ac:dyDescent="0.2">
      <c r="A6" s="1"/>
      <c r="B6" s="1"/>
      <c r="C6" s="1"/>
      <c r="D6" s="1"/>
      <c r="E6" s="20"/>
      <c r="F6" s="27"/>
      <c r="G6" s="1"/>
      <c r="H6" s="1"/>
      <c r="J6" s="25"/>
    </row>
    <row r="8" spans="1:10" x14ac:dyDescent="0.2">
      <c r="A8" s="45" t="s">
        <v>69</v>
      </c>
      <c r="B8" s="45"/>
      <c r="C8" s="45"/>
      <c r="D8" s="45"/>
    </row>
    <row r="9" spans="1:10" x14ac:dyDescent="0.2">
      <c r="A9" s="22" t="s">
        <v>73</v>
      </c>
      <c r="B9" s="22" t="s">
        <v>70</v>
      </c>
      <c r="C9" s="22" t="s">
        <v>71</v>
      </c>
      <c r="D9" s="22" t="s">
        <v>72</v>
      </c>
    </row>
    <row r="10" spans="1:10" x14ac:dyDescent="0.2">
      <c r="A10" s="21">
        <v>18</v>
      </c>
      <c r="B10" s="21">
        <v>14.8</v>
      </c>
      <c r="C10" s="21">
        <v>1.02362</v>
      </c>
      <c r="D10" s="21">
        <f>(3.14159*B10)/C10</f>
        <v>45.422649029913444</v>
      </c>
    </row>
    <row r="11" spans="1:10" x14ac:dyDescent="0.2">
      <c r="A11" s="21">
        <v>22</v>
      </c>
      <c r="B11" s="21">
        <v>23</v>
      </c>
      <c r="C11" s="21">
        <v>0.64515999999999996</v>
      </c>
      <c r="D11" s="21">
        <f>(3.14159*B11)/C11</f>
        <v>111.997907495815</v>
      </c>
    </row>
    <row r="12" spans="1:10" x14ac:dyDescent="0.2">
      <c r="A12" s="21">
        <v>22</v>
      </c>
      <c r="B12" s="21">
        <v>20.5</v>
      </c>
      <c r="C12" s="21">
        <v>0.64515999999999996</v>
      </c>
      <c r="D12" s="21">
        <f>(3.14159*B12)/C12</f>
        <v>99.824221898443795</v>
      </c>
    </row>
    <row r="15" spans="1:10" x14ac:dyDescent="0.2">
      <c r="A15" s="46" t="s">
        <v>85</v>
      </c>
      <c r="B15" s="46"/>
      <c r="C15" s="46"/>
      <c r="D15" s="46"/>
      <c r="E15" s="46"/>
    </row>
    <row r="16" spans="1:10" x14ac:dyDescent="0.2">
      <c r="A16" s="30" t="s">
        <v>86</v>
      </c>
      <c r="B16" s="30" t="s">
        <v>81</v>
      </c>
      <c r="C16" s="30" t="s">
        <v>82</v>
      </c>
      <c r="D16" s="30" t="s">
        <v>83</v>
      </c>
      <c r="E16" s="31" t="s">
        <v>84</v>
      </c>
    </row>
    <row r="17" spans="1:5" x14ac:dyDescent="0.2">
      <c r="A17" s="3">
        <v>1</v>
      </c>
      <c r="B17" s="3">
        <v>13.12</v>
      </c>
      <c r="C17" s="3">
        <v>27.2</v>
      </c>
      <c r="D17" s="3">
        <v>34.299999999999997</v>
      </c>
      <c r="E17" s="19"/>
    </row>
    <row r="18" spans="1:5" x14ac:dyDescent="0.2">
      <c r="A18" s="3">
        <v>2</v>
      </c>
      <c r="B18" s="3"/>
      <c r="C18" s="3"/>
      <c r="D18" s="3"/>
      <c r="E18" s="19"/>
    </row>
    <row r="19" spans="1:5" x14ac:dyDescent="0.2">
      <c r="A19" s="3">
        <v>3</v>
      </c>
      <c r="B19" s="3"/>
      <c r="C19" s="3"/>
      <c r="D19" s="3"/>
      <c r="E19" s="19"/>
    </row>
  </sheetData>
  <mergeCells count="3">
    <mergeCell ref="A1:H1"/>
    <mergeCell ref="A8:D8"/>
    <mergeCell ref="A15:E15"/>
  </mergeCells>
  <phoneticPr fontId="5" type="noConversion"/>
  <hyperlinks>
    <hyperlink ref="J5" r:id="rId1" xr:uid="{00000000-0004-0000-0100-000000000000}"/>
    <hyperlink ref="J4" r:id="rId2" xr:uid="{00000000-0004-0000-01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="125" zoomScaleNormal="125" zoomScalePageLayoutView="125" workbookViewId="0">
      <selection activeCell="F28" sqref="F28"/>
    </sheetView>
  </sheetViews>
  <sheetFormatPr baseColWidth="10" defaultRowHeight="16" x14ac:dyDescent="0.2"/>
  <cols>
    <col min="2" max="2" width="15.33203125" customWidth="1"/>
    <col min="3" max="3" width="22" customWidth="1"/>
    <col min="4" max="4" width="4.5" customWidth="1"/>
    <col min="6" max="6" width="16.83203125" customWidth="1"/>
    <col min="7" max="7" width="15" customWidth="1"/>
  </cols>
  <sheetData>
    <row r="1" spans="1:7" x14ac:dyDescent="0.2">
      <c r="A1" s="47" t="s">
        <v>87</v>
      </c>
      <c r="B1" s="47"/>
      <c r="C1" s="47"/>
      <c r="E1" s="47" t="s">
        <v>92</v>
      </c>
      <c r="F1" s="47"/>
      <c r="G1" s="47"/>
    </row>
    <row r="2" spans="1:7" ht="51" x14ac:dyDescent="0.2">
      <c r="A2" s="16" t="s">
        <v>88</v>
      </c>
      <c r="B2" s="33" t="s">
        <v>89</v>
      </c>
      <c r="C2" s="16" t="s">
        <v>93</v>
      </c>
      <c r="D2" s="1"/>
      <c r="E2" s="16" t="s">
        <v>88</v>
      </c>
      <c r="F2" s="33" t="s">
        <v>90</v>
      </c>
      <c r="G2" s="33" t="s">
        <v>91</v>
      </c>
    </row>
    <row r="3" spans="1:7" x14ac:dyDescent="0.2">
      <c r="A3" s="32">
        <v>10000</v>
      </c>
      <c r="B3" s="21">
        <v>1</v>
      </c>
      <c r="C3" s="21" t="s">
        <v>95</v>
      </c>
      <c r="E3" s="21">
        <v>1000</v>
      </c>
      <c r="F3" s="21">
        <v>1</v>
      </c>
      <c r="G3" s="21">
        <v>1.2</v>
      </c>
    </row>
    <row r="4" spans="1:7" x14ac:dyDescent="0.2">
      <c r="A4" s="21">
        <v>1000</v>
      </c>
      <c r="B4" s="21">
        <v>10</v>
      </c>
      <c r="C4" s="21" t="s">
        <v>95</v>
      </c>
      <c r="E4" s="21">
        <v>560</v>
      </c>
      <c r="F4" s="35">
        <v>1.4</v>
      </c>
      <c r="G4" s="35">
        <v>1.8</v>
      </c>
    </row>
    <row r="5" spans="1:7" x14ac:dyDescent="0.2">
      <c r="A5" s="21">
        <v>100</v>
      </c>
      <c r="B5" s="21">
        <v>70</v>
      </c>
      <c r="C5" s="21" t="s">
        <v>96</v>
      </c>
      <c r="E5" s="21">
        <v>330</v>
      </c>
      <c r="F5" s="35">
        <v>1.4</v>
      </c>
      <c r="G5" s="35">
        <v>1.8</v>
      </c>
    </row>
    <row r="6" spans="1:7" x14ac:dyDescent="0.2">
      <c r="A6" s="21">
        <v>51</v>
      </c>
      <c r="B6" s="21">
        <v>100</v>
      </c>
      <c r="C6" s="34" t="s">
        <v>98</v>
      </c>
      <c r="E6" s="21">
        <v>270</v>
      </c>
      <c r="F6" s="21">
        <v>1.6</v>
      </c>
      <c r="G6" s="21">
        <v>1.85</v>
      </c>
    </row>
    <row r="7" spans="1:7" x14ac:dyDescent="0.2">
      <c r="A7" s="21">
        <v>21</v>
      </c>
      <c r="B7" s="21">
        <v>700</v>
      </c>
      <c r="C7" s="21" t="s">
        <v>97</v>
      </c>
      <c r="E7" s="21">
        <v>150</v>
      </c>
      <c r="F7" s="21">
        <v>1.3</v>
      </c>
      <c r="G7" s="21">
        <v>1.5</v>
      </c>
    </row>
    <row r="8" spans="1:7" x14ac:dyDescent="0.2">
      <c r="A8" s="21">
        <v>10</v>
      </c>
      <c r="B8" s="21">
        <v>900</v>
      </c>
      <c r="C8" s="21" t="s">
        <v>94</v>
      </c>
      <c r="E8" s="21">
        <v>100</v>
      </c>
      <c r="F8" s="21">
        <v>1.4</v>
      </c>
      <c r="G8" s="21">
        <v>1.6</v>
      </c>
    </row>
    <row r="9" spans="1:7" x14ac:dyDescent="0.2">
      <c r="E9" s="15"/>
    </row>
  </sheetData>
  <mergeCells count="2">
    <mergeCell ref="E1:G1"/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zoomScale="125" zoomScaleNormal="125" zoomScalePageLayoutView="125" workbookViewId="0">
      <selection activeCell="E20" sqref="E20"/>
    </sheetView>
  </sheetViews>
  <sheetFormatPr baseColWidth="10" defaultRowHeight="16" x14ac:dyDescent="0.2"/>
  <cols>
    <col min="1" max="1" width="13.1640625" style="15" customWidth="1"/>
    <col min="2" max="2" width="13.1640625" customWidth="1"/>
    <col min="3" max="3" width="14.83203125" customWidth="1"/>
    <col min="4" max="4" width="14.33203125" customWidth="1"/>
    <col min="8" max="9" width="13.1640625" customWidth="1"/>
    <col min="10" max="10" width="14.83203125" customWidth="1"/>
    <col min="11" max="11" width="14.33203125" customWidth="1"/>
  </cols>
  <sheetData>
    <row r="1" spans="1:12" x14ac:dyDescent="0.2">
      <c r="A1" s="51" t="s">
        <v>99</v>
      </c>
      <c r="B1" s="51"/>
      <c r="C1" s="51"/>
      <c r="D1" s="51"/>
      <c r="H1" s="52" t="s">
        <v>99</v>
      </c>
      <c r="I1" s="53"/>
      <c r="J1" s="53"/>
      <c r="K1" s="54"/>
    </row>
    <row r="2" spans="1:12" ht="30" customHeight="1" x14ac:dyDescent="0.2">
      <c r="A2" s="48" t="s">
        <v>103</v>
      </c>
      <c r="B2" s="49"/>
      <c r="C2" s="50" t="s">
        <v>102</v>
      </c>
      <c r="D2" s="50"/>
      <c r="H2" s="48" t="s">
        <v>103</v>
      </c>
      <c r="I2" s="55"/>
      <c r="J2" s="56" t="s">
        <v>102</v>
      </c>
      <c r="K2" s="57"/>
    </row>
    <row r="3" spans="1:12" ht="34" x14ac:dyDescent="0.2">
      <c r="A3" s="33" t="s">
        <v>101</v>
      </c>
      <c r="B3" s="33" t="s">
        <v>104</v>
      </c>
      <c r="C3" s="16" t="s">
        <v>101</v>
      </c>
      <c r="D3" s="33" t="s">
        <v>105</v>
      </c>
      <c r="E3" s="33" t="s">
        <v>106</v>
      </c>
      <c r="H3" s="33" t="s">
        <v>101</v>
      </c>
      <c r="I3" s="33" t="s">
        <v>104</v>
      </c>
      <c r="J3" s="16" t="s">
        <v>101</v>
      </c>
      <c r="K3" s="33" t="s">
        <v>105</v>
      </c>
    </row>
    <row r="4" spans="1:12" x14ac:dyDescent="0.2">
      <c r="A4" s="36">
        <v>1.8</v>
      </c>
      <c r="B4" s="3">
        <v>61.25</v>
      </c>
      <c r="C4" s="3">
        <v>50</v>
      </c>
      <c r="D4" s="3">
        <v>50</v>
      </c>
      <c r="E4" s="39">
        <f>(A4*1000)/B4</f>
        <v>29.387755102040817</v>
      </c>
      <c r="H4" s="36">
        <v>1.7</v>
      </c>
      <c r="I4" s="3">
        <v>60</v>
      </c>
      <c r="J4" s="3">
        <v>49.88</v>
      </c>
      <c r="K4" s="3">
        <v>49.9</v>
      </c>
    </row>
    <row r="5" spans="1:12" x14ac:dyDescent="0.2">
      <c r="A5" s="37">
        <v>2</v>
      </c>
      <c r="B5" s="3">
        <v>72</v>
      </c>
      <c r="C5" s="3">
        <v>49.8</v>
      </c>
      <c r="D5" s="3">
        <v>42</v>
      </c>
      <c r="E5" s="39">
        <f t="shared" ref="E5:E12" si="0">(A5*1000)/B5</f>
        <v>27.777777777777779</v>
      </c>
      <c r="H5" s="37">
        <v>1.72</v>
      </c>
      <c r="I5" s="3">
        <v>59.7</v>
      </c>
      <c r="J5" s="3">
        <v>49.75</v>
      </c>
      <c r="K5" s="3">
        <v>51</v>
      </c>
    </row>
    <row r="6" spans="1:12" x14ac:dyDescent="0.2">
      <c r="A6" s="37">
        <v>2.0299999999999998</v>
      </c>
      <c r="B6" s="3">
        <v>70.7</v>
      </c>
      <c r="C6" s="3">
        <v>49.8</v>
      </c>
      <c r="D6" s="3">
        <v>45</v>
      </c>
      <c r="E6" s="39">
        <f t="shared" si="0"/>
        <v>28.71287128712871</v>
      </c>
      <c r="H6" s="37">
        <v>1.72</v>
      </c>
      <c r="I6" s="3">
        <v>60.1</v>
      </c>
      <c r="J6" s="3">
        <v>49.75</v>
      </c>
      <c r="K6" s="3">
        <v>50</v>
      </c>
    </row>
    <row r="7" spans="1:12" x14ac:dyDescent="0.2">
      <c r="A7" s="37">
        <v>1.92</v>
      </c>
      <c r="B7" s="3">
        <v>66.8</v>
      </c>
      <c r="C7" s="3">
        <v>49.8</v>
      </c>
      <c r="D7" s="3">
        <v>48</v>
      </c>
      <c r="E7" s="39">
        <f t="shared" si="0"/>
        <v>28.742514970059883</v>
      </c>
      <c r="H7" s="37">
        <v>1.8</v>
      </c>
      <c r="I7" s="3">
        <v>61.25</v>
      </c>
      <c r="J7" s="3">
        <v>50</v>
      </c>
      <c r="K7" s="3">
        <v>50</v>
      </c>
    </row>
    <row r="8" spans="1:12" x14ac:dyDescent="0.2">
      <c r="A8" s="37">
        <v>1.9</v>
      </c>
      <c r="B8" s="3">
        <v>66.900000000000006</v>
      </c>
      <c r="C8" s="3">
        <v>49.75</v>
      </c>
      <c r="D8" s="3">
        <v>48.5</v>
      </c>
      <c r="E8" s="39">
        <f t="shared" si="0"/>
        <v>28.400597907324361</v>
      </c>
      <c r="H8" s="37">
        <v>1.83</v>
      </c>
      <c r="I8" s="3">
        <v>65.2</v>
      </c>
      <c r="J8" s="3">
        <v>49.75</v>
      </c>
      <c r="K8" s="3">
        <v>49.8</v>
      </c>
    </row>
    <row r="9" spans="1:12" x14ac:dyDescent="0.2">
      <c r="A9" s="37">
        <v>1.72</v>
      </c>
      <c r="B9" s="3">
        <v>59.7</v>
      </c>
      <c r="C9" s="3">
        <v>49.75</v>
      </c>
      <c r="D9" s="3">
        <v>51</v>
      </c>
      <c r="E9" s="39">
        <f t="shared" si="0"/>
        <v>28.810720268006698</v>
      </c>
      <c r="H9" s="37">
        <v>1.9</v>
      </c>
      <c r="I9" s="3">
        <v>66.900000000000006</v>
      </c>
      <c r="J9" s="3">
        <v>49.75</v>
      </c>
      <c r="K9" s="3">
        <v>48.5</v>
      </c>
    </row>
    <row r="10" spans="1:12" x14ac:dyDescent="0.2">
      <c r="A10" s="37">
        <v>1.72</v>
      </c>
      <c r="B10" s="3">
        <v>60.1</v>
      </c>
      <c r="C10" s="3">
        <v>49.75</v>
      </c>
      <c r="D10" s="3">
        <v>50</v>
      </c>
      <c r="E10" s="39">
        <f t="shared" si="0"/>
        <v>28.618968386023294</v>
      </c>
      <c r="H10" s="37">
        <v>1.92</v>
      </c>
      <c r="I10" s="3">
        <v>66.8</v>
      </c>
      <c r="J10" s="3">
        <v>49.8</v>
      </c>
      <c r="K10" s="3">
        <v>48</v>
      </c>
    </row>
    <row r="11" spans="1:12" x14ac:dyDescent="0.2">
      <c r="A11" s="37">
        <v>1.83</v>
      </c>
      <c r="B11" s="3">
        <v>65.2</v>
      </c>
      <c r="C11" s="3">
        <v>49.75</v>
      </c>
      <c r="D11" s="3">
        <v>49.8</v>
      </c>
      <c r="E11" s="39">
        <f t="shared" si="0"/>
        <v>28.067484662576685</v>
      </c>
      <c r="H11" s="37">
        <v>2</v>
      </c>
      <c r="I11" s="3">
        <v>72</v>
      </c>
      <c r="J11" s="3">
        <v>49.8</v>
      </c>
      <c r="K11" s="3">
        <v>42</v>
      </c>
    </row>
    <row r="12" spans="1:12" x14ac:dyDescent="0.2">
      <c r="A12" s="37">
        <v>1.7</v>
      </c>
      <c r="B12" s="3">
        <v>60</v>
      </c>
      <c r="C12" s="3">
        <v>49.88</v>
      </c>
      <c r="D12" s="3">
        <v>49.9</v>
      </c>
      <c r="E12" s="39">
        <f t="shared" si="0"/>
        <v>28.333333333333332</v>
      </c>
      <c r="H12" s="36">
        <v>2.0299999999999998</v>
      </c>
      <c r="I12" s="3">
        <v>70.7</v>
      </c>
      <c r="J12" s="3">
        <v>49.8</v>
      </c>
      <c r="K12" s="3">
        <v>45</v>
      </c>
    </row>
    <row r="13" spans="1:12" x14ac:dyDescent="0.2">
      <c r="A13" s="37"/>
      <c r="B13" s="3"/>
      <c r="C13" s="3"/>
      <c r="D13" s="3"/>
      <c r="E13" s="39"/>
      <c r="H13" s="38"/>
      <c r="I13" s="4"/>
      <c r="J13" s="4"/>
      <c r="K13" s="4"/>
      <c r="L13" s="25"/>
    </row>
    <row r="14" spans="1:12" x14ac:dyDescent="0.2">
      <c r="A14" s="1"/>
      <c r="B14" s="1"/>
      <c r="C14" s="1"/>
      <c r="D14" s="1"/>
      <c r="H14" s="25"/>
      <c r="I14" s="25"/>
      <c r="J14" s="25"/>
      <c r="K14" s="25"/>
      <c r="L14" s="25"/>
    </row>
    <row r="16" spans="1:12" x14ac:dyDescent="0.2">
      <c r="E16">
        <f>AVERAGE(E4:E12)</f>
        <v>28.539113743807945</v>
      </c>
      <c r="F16" s="15" t="s">
        <v>107</v>
      </c>
    </row>
    <row r="18" spans="1:4" x14ac:dyDescent="0.2">
      <c r="A18" s="15" t="s">
        <v>108</v>
      </c>
    </row>
    <row r="19" spans="1:4" x14ac:dyDescent="0.2">
      <c r="A19" s="15">
        <v>1.72</v>
      </c>
      <c r="B19">
        <v>59.4</v>
      </c>
      <c r="C19">
        <v>49.75</v>
      </c>
      <c r="D19">
        <v>50</v>
      </c>
    </row>
  </sheetData>
  <sortState ref="H4:K12">
    <sortCondition ref="H14"/>
  </sortState>
  <mergeCells count="6">
    <mergeCell ref="A2:B2"/>
    <mergeCell ref="C2:D2"/>
    <mergeCell ref="A1:D1"/>
    <mergeCell ref="H1:K1"/>
    <mergeCell ref="H2:I2"/>
    <mergeCell ref="J2:K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zoomScale="125" zoomScaleNormal="125" zoomScalePageLayoutView="125" workbookViewId="0">
      <selection activeCell="H16" sqref="H16"/>
    </sheetView>
  </sheetViews>
  <sheetFormatPr baseColWidth="10" defaultRowHeight="16" x14ac:dyDescent="0.2"/>
  <cols>
    <col min="1" max="1" width="17.6640625" customWidth="1"/>
    <col min="8" max="8" width="12.6640625" customWidth="1"/>
    <col min="9" max="9" width="12.5" customWidth="1"/>
    <col min="10" max="10" width="14" customWidth="1"/>
    <col min="11" max="11" width="14.83203125" customWidth="1"/>
  </cols>
  <sheetData>
    <row r="1" spans="1:11" x14ac:dyDescent="0.2">
      <c r="A1" s="58" t="s">
        <v>114</v>
      </c>
      <c r="B1" s="50" t="s">
        <v>109</v>
      </c>
      <c r="C1" s="50"/>
      <c r="D1" s="50" t="s">
        <v>110</v>
      </c>
      <c r="E1" s="50"/>
      <c r="H1" s="60" t="s">
        <v>115</v>
      </c>
      <c r="I1" s="60"/>
      <c r="J1" s="60"/>
      <c r="K1" s="60"/>
    </row>
    <row r="2" spans="1:11" x14ac:dyDescent="0.2">
      <c r="A2" s="59"/>
      <c r="B2" s="16" t="s">
        <v>111</v>
      </c>
      <c r="C2" s="16" t="s">
        <v>112</v>
      </c>
      <c r="D2" s="16" t="s">
        <v>111</v>
      </c>
      <c r="E2" s="16" t="s">
        <v>112</v>
      </c>
      <c r="H2" s="16" t="s">
        <v>116</v>
      </c>
      <c r="I2" s="16" t="s">
        <v>117</v>
      </c>
      <c r="J2" s="16" t="s">
        <v>118</v>
      </c>
      <c r="K2" s="16" t="s">
        <v>119</v>
      </c>
    </row>
    <row r="3" spans="1:11" x14ac:dyDescent="0.2">
      <c r="A3" s="16" t="s">
        <v>100</v>
      </c>
      <c r="B3" s="3">
        <v>61.4</v>
      </c>
      <c r="C3" s="3">
        <v>66.400000000000006</v>
      </c>
      <c r="D3" s="3">
        <v>65</v>
      </c>
      <c r="E3" s="3">
        <v>71</v>
      </c>
      <c r="H3" s="21" t="s">
        <v>120</v>
      </c>
      <c r="I3" s="21" t="s">
        <v>121</v>
      </c>
      <c r="J3" s="21" t="s">
        <v>122</v>
      </c>
      <c r="K3" s="21">
        <v>35</v>
      </c>
    </row>
    <row r="4" spans="1:11" x14ac:dyDescent="0.2">
      <c r="A4" s="16" t="s">
        <v>113</v>
      </c>
      <c r="B4" s="3">
        <v>17.7</v>
      </c>
      <c r="C4" s="3">
        <v>19.149999999999999</v>
      </c>
      <c r="D4" s="3">
        <v>17.649999999999999</v>
      </c>
      <c r="E4" s="3">
        <v>19</v>
      </c>
      <c r="H4" s="21" t="s">
        <v>22</v>
      </c>
      <c r="I4" s="21" t="s">
        <v>123</v>
      </c>
      <c r="J4" s="21" t="s">
        <v>124</v>
      </c>
      <c r="K4" s="21">
        <v>75</v>
      </c>
    </row>
    <row r="5" spans="1:11" x14ac:dyDescent="0.2">
      <c r="H5" s="21" t="s">
        <v>120</v>
      </c>
      <c r="I5" s="21" t="s">
        <v>123</v>
      </c>
      <c r="J5" s="21" t="s">
        <v>125</v>
      </c>
      <c r="K5" s="21">
        <v>60</v>
      </c>
    </row>
    <row r="6" spans="1:11" x14ac:dyDescent="0.2">
      <c r="H6" s="21" t="s">
        <v>22</v>
      </c>
      <c r="I6" s="21" t="s">
        <v>121</v>
      </c>
      <c r="J6" s="21" t="s">
        <v>126</v>
      </c>
      <c r="K6" s="21">
        <v>50</v>
      </c>
    </row>
  </sheetData>
  <mergeCells count="4">
    <mergeCell ref="B1:C1"/>
    <mergeCell ref="D1:E1"/>
    <mergeCell ref="A1:A2"/>
    <mergeCell ref="H1:K1"/>
  </mergeCells>
  <pageMargins left="0.75" right="0.75" top="1" bottom="1" header="0.5" footer="0.5"/>
  <pageSetup orientation="portrait" horizontalDpi="4294967292" verticalDpi="4294967292"/>
  <ignoredErrors>
    <ignoredError sqref="J3:J6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Final Specs</vt:lpstr>
      <vt:lpstr>Inductor Winding</vt:lpstr>
      <vt:lpstr>Synch Testing</vt:lpstr>
      <vt:lpstr>MSP430 Testing-Raw</vt:lpstr>
      <vt:lpstr>Alternator Testing</vt:lpstr>
      <vt:lpstr>'Final Specs'!Print_Area</vt:lpstr>
      <vt:lpstr>'Inductor Winding'!Print_Area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Petersile</dc:creator>
  <cp:lastModifiedBy>Escobar, Jonas, M</cp:lastModifiedBy>
  <cp:lastPrinted>2015-03-03T06:19:51Z</cp:lastPrinted>
  <dcterms:created xsi:type="dcterms:W3CDTF">2015-02-02T21:27:55Z</dcterms:created>
  <dcterms:modified xsi:type="dcterms:W3CDTF">2022-04-06T17:39:25Z</dcterms:modified>
</cp:coreProperties>
</file>