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y order" sheetId="1" state="visible" r:id="rId2"/>
    <sheet name="Summary" sheetId="2" state="visible" r:id="rId3"/>
    <sheet name="PrivateData" sheetId="3" state="hidden" r:id="rId4"/>
  </sheets>
  <definedNames>
    <definedName function="false" hidden="false" name="Airez" vbProcedure="false">PrivateData!$B$2:$B$4</definedName>
    <definedName function="false" hidden="false" name="AirezKid" vbProcedure="false">PrivateData!$B$19:$B$21</definedName>
    <definedName function="false" hidden="false" name="AirezMan" vbProcedure="false">PrivateData!$B$22:$B$28</definedName>
    <definedName function="false" hidden="false" name="AirezWoman" vbProcedure="false">PrivateData!$B$23:$B$27</definedName>
    <definedName function="false" hidden="false" name="Argia" vbProcedure="false">PrivateData!$D$2:$D$3</definedName>
    <definedName function="false" hidden="false" name="ArgiaMan" vbProcedure="false">PrivateData!$B$23:$B$27</definedName>
    <definedName function="false" hidden="false" name="ArgiaWoman" vbProcedure="false">PrivateData!$B$23:$B$26</definedName>
    <definedName function="false" hidden="false" name="Azkar" vbProcedure="false">PrivateData!$B$2:$B$4</definedName>
    <definedName function="false" hidden="false" name="AzkarKid" vbProcedure="false">PrivateData!$B$19:$B$21</definedName>
    <definedName function="false" hidden="false" name="AzkarMan" vbProcedure="false">PrivateData!$B$22:$B$28</definedName>
    <definedName function="false" hidden="false" name="AzkarWoman" vbProcedure="false">PrivateData!$B$23:$B$27</definedName>
    <definedName function="false" hidden="false" name="Azkar_LongSleeves" vbProcedure="false">PrivateData!$B$2:$B$4</definedName>
    <definedName function="false" hidden="false" name="Azkar_LongSleevesKid" vbProcedure="false">PrivateData!$B$19:$B$21</definedName>
    <definedName function="false" hidden="false" name="Azkar_LongSleevesMan" vbProcedure="false">PrivateData!$B$22:$B$28</definedName>
    <definedName function="false" hidden="false" name="Azkar_LongSleevesWoman" vbProcedure="false">PrivateData!$B$23:$B$27</definedName>
    <definedName function="false" hidden="false" name="Beach_Flag" vbProcedure="false">PrivateData!$D$13</definedName>
    <definedName function="false" hidden="false" name="Beach_FlagSublimated" vbProcedure="false">PrivateData!$C$32:$C$34</definedName>
    <definedName function="false" hidden="false" name="Cap" vbProcedure="false">PrivateData!$B$13:$B$14</definedName>
    <definedName function="false" hidden="false" name="CapFlexfit" vbProcedure="false">PrivateData!$D$19:$D$20</definedName>
    <definedName function="false" hidden="false" name="CapTrucker" vbProcedure="false">PrivateData!$E$19</definedName>
    <definedName function="false" hidden="false" name="Casual_Tee" vbProcedure="false">PrivateData!$B$2:$B$4</definedName>
    <definedName function="false" hidden="false" name="Casual_TeeKid" vbProcedure="false">PrivateData!$B$19:$B$21</definedName>
    <definedName function="false" hidden="false" name="Casual_TeeMan" vbProcedure="false">PrivateData!$B$22:$B$27</definedName>
    <definedName function="false" hidden="false" name="Casual_TeeWoman" vbProcedure="false">PrivateData!$B$23:$B$27</definedName>
    <definedName function="false" hidden="false" name="Casual_Tee_Pocket" vbProcedure="false">PrivateData!$B$2:$B$4</definedName>
    <definedName function="false" hidden="false" name="Casual_Tee_PocketKid" vbProcedure="false">PrivateData!$B$19:$B$21</definedName>
    <definedName function="false" hidden="false" name="Casual_Tee_PocketMan" vbProcedure="false">PrivateData!$B$22:$B$27</definedName>
    <definedName function="false" hidden="false" name="Casual_Tee_PocketWoman" vbProcedure="false">PrivateData!$B$23:$B$27</definedName>
    <definedName function="false" hidden="false" name="Compression_Sleeves" vbProcedure="false">PrivateData!$D$2:$D$3</definedName>
    <definedName function="false" hidden="false" name="Compression_SleevesMan" vbProcedure="false">PrivateData!$D$19:$D$20</definedName>
    <definedName function="false" hidden="false" name="Compression_SleevesWoman" vbProcedure="false">PrivateData!$D$19:$D$20</definedName>
    <definedName function="false" hidden="false" name="Compression_Top" vbProcedure="false">PrivateData!$B$2:$B$4</definedName>
    <definedName function="false" hidden="false" name="Compression_TopKid" vbProcedure="false">PrivateData!$B$19:$B$21</definedName>
    <definedName function="false" hidden="false" name="Compression_TopMan" vbProcedure="false">PrivateData!$B$22:$B$28</definedName>
    <definedName function="false" hidden="false" name="Compression_TopWoman" vbProcedure="false">PrivateData!$B$23:$B$27</definedName>
    <definedName function="false" hidden="false" name="Compression_Top_LongSleeves" vbProcedure="false">PrivateData!$B$2:$B$4</definedName>
    <definedName function="false" hidden="false" name="Compression_Top_LongSleevesKid" vbProcedure="false">PrivateData!$B$19:$B$21</definedName>
    <definedName function="false" hidden="false" name="Compression_Top_LongSleevesMan" vbProcedure="false">PrivateData!$B$22:$B$28</definedName>
    <definedName function="false" hidden="false" name="Compression_Top_LongSleevesWoman" vbProcedure="false">PrivateData!$B$23:$B$27</definedName>
    <definedName function="false" hidden="false" name="Dotoreak" vbProcedure="false">PrivateData!$B$2:$B$4</definedName>
    <definedName function="false" hidden="false" name="DotoreakKid" vbProcedure="false">PrivateData!$B$19:$B$21</definedName>
    <definedName function="false" hidden="false" name="DotoreakMan" vbProcedure="false">PrivateData!$B$22:$B$28</definedName>
    <definedName function="false" hidden="false" name="DotoreakWoman" vbProcedure="false">PrivateData!$B$23:$B$27</definedName>
    <definedName function="false" hidden="false" name="Dotoreak_LongSleeves" vbProcedure="false">PrivateData!$B$2:$B$4</definedName>
    <definedName function="false" hidden="false" name="Dotoreak_LongSleevesKid" vbProcedure="false">PrivateData!$B$19:$B$21</definedName>
    <definedName function="false" hidden="false" name="Dotoreak_LongSleevesMan" vbProcedure="false">PrivateData!$B$22:$B$28</definedName>
    <definedName function="false" hidden="false" name="Dotoreak_LongSleevesWoman" vbProcedure="false">PrivateData!$B$23:$B$27</definedName>
    <definedName function="false" hidden="false" name="Drawstring_Bag" vbProcedure="false">PrivateData!$C$13</definedName>
    <definedName function="false" hidden="false" name="Drawstring_BagSublimated" vbProcedure="false">PrivateData!$E$19</definedName>
    <definedName function="false" hidden="false" name="Erritmo" vbProcedure="false">PrivateData!$B$2:$B$4</definedName>
    <definedName function="false" hidden="false" name="ErritmoKid" vbProcedure="false">PrivateData!$B$19:$B$21</definedName>
    <definedName function="false" hidden="false" name="ErritmoMan" vbProcedure="false">PrivateData!$B$22:$B$28</definedName>
    <definedName function="false" hidden="false" name="ErritmoWoman" vbProcedure="false">PrivateData!$B$23:$B$27</definedName>
    <definedName function="false" hidden="false" name="Excel_BuiltIn__FilterDatabase" vbProcedure="false">'My order'!$A$29:$H$230</definedName>
    <definedName function="false" hidden="false" name="Fanion" vbProcedure="false">PrivateData!$C$13</definedName>
    <definedName function="false" hidden="false" name="FanionSublimated" vbProcedure="false">PrivateData!$E$19</definedName>
    <definedName function="false" hidden="false" name="Foot" vbProcedure="false">PrivateData!$D$32:$D$33</definedName>
    <definedName function="false" hidden="false" name="FootGrass" vbProcedure="false">PrivateData!$E$19</definedName>
    <definedName function="false" hidden="false" name="FootSand" vbProcedure="false">PrivateData!$E$19</definedName>
    <definedName function="false" hidden="false" name="Garland" vbProcedure="false">PrivateData!$D$13</definedName>
    <definedName function="false" hidden="false" name="GarlandSublimated" vbProcedure="false">PrivateData!$E$19</definedName>
    <definedName function="false" hidden="false" name="Gloves" vbProcedure="false">PrivateData!$D$2:$D$3</definedName>
    <definedName function="false" hidden="false" name="GlovesMan" vbProcedure="false">PrivateData!$B$23:$B$27</definedName>
    <definedName function="false" hidden="false" name="GlovesWoman" vbProcedure="false">PrivateData!$C$22:$C$24</definedName>
    <definedName function="false" hidden="false" name="Half_Leg" vbProcedure="false">PrivateData!$E$2:$E$3</definedName>
    <definedName function="false" hidden="false" name="Half_LegMan" vbProcedure="false">PrivateData!$B$22:$B$27</definedName>
    <definedName function="false" hidden="false" name="Half_LegWoman" vbProcedure="false">PrivateData!$B$22:$B$27</definedName>
    <definedName function="false" hidden="false" name="Handwarmer" vbProcedure="false">PrivateData!$C$13</definedName>
    <definedName function="false" hidden="false" name="HandwarmerSublimated" vbProcedure="false">PrivateData!$E$19</definedName>
    <definedName function="false" hidden="false" name="Headband" vbProcedure="false">PrivateData!$C$13</definedName>
    <definedName function="false" hidden="false" name="HeadbandSublimated" vbProcedure="false">PrivateData!$E$19</definedName>
    <definedName function="false" hidden="false" name="Iribazi" vbProcedure="false">PrivateData!$B$2:$B$4</definedName>
    <definedName function="false" hidden="false" name="IribaziKid" vbProcedure="false">PrivateData!$B$19:$B$21</definedName>
    <definedName function="false" hidden="false" name="IribaziMan" vbProcedure="false">PrivateData!$B$22:$B$28</definedName>
    <definedName function="false" hidden="false" name="IribaziWoman" vbProcedure="false">PrivateData!$B$23:$B$27</definedName>
    <definedName function="false" hidden="false" name="Iribazi_LongSleeves" vbProcedure="false">PrivateData!$B$2:$B$4</definedName>
    <definedName function="false" hidden="false" name="Iribazi_LongSleevesKid" vbProcedure="false">PrivateData!$B$19:$B$21</definedName>
    <definedName function="false" hidden="false" name="Iribazi_LongSleevesMan" vbProcedure="false">PrivateData!$B$22:$B$28</definedName>
    <definedName function="false" hidden="false" name="Iribazi_LongSleevesWoman" vbProcedure="false">PrivateData!$B$23:$B$27</definedName>
    <definedName function="false" hidden="false" name="Jaketa" vbProcedure="false">PrivateData!$B$2:$B$3</definedName>
    <definedName function="false" hidden="false" name="JaketaMan" vbProcedure="false">PrivateData!$B$23:$B$27</definedName>
    <definedName function="false" hidden="false" name="JaketaWoman" vbProcedure="false">PrivateData!$B$23:$B$26</definedName>
    <definedName function="false" hidden="false" name="Jauzi" vbProcedure="false">PrivateData!$B$2:$B$4</definedName>
    <definedName function="false" hidden="false" name="JauziKid" vbProcedure="false">PrivateData!$B$19:$B$21</definedName>
    <definedName function="false" hidden="false" name="JauziMan" vbProcedure="false">PrivateData!$B$22:$B$28</definedName>
    <definedName function="false" hidden="false" name="JauziWoman" vbProcedure="false">PrivateData!$B$23:$B$27</definedName>
    <definedName function="false" hidden="false" name="Kanpaia" vbProcedure="false">PrivateData!$D$2:$D$3</definedName>
    <definedName function="false" hidden="false" name="KanpaiaMan" vbProcedure="false">PrivateData!$B$23:$B$27</definedName>
    <definedName function="false" hidden="false" name="KanpaiaWoman" vbProcedure="false">PrivateData!$B$23:$B$26</definedName>
    <definedName function="false" hidden="false" name="Korrika" vbProcedure="false">PrivateData!$B$2:$B$4</definedName>
    <definedName function="false" hidden="false" name="KorrikaKid" vbProcedure="false">PrivateData!$B$19:$B$21</definedName>
    <definedName function="false" hidden="false" name="KorrikaMan" vbProcedure="false">PrivateData!$B$22:$B$28</definedName>
    <definedName function="false" hidden="false" name="KorrikaWoman" vbProcedure="false">PrivateData!$B$23:$B$27</definedName>
    <definedName function="false" hidden="false" name="Korsair" vbProcedure="false">PrivateData!$E$2:$E$3</definedName>
    <definedName function="false" hidden="false" name="KorsairMan" vbProcedure="false">PrivateData!$B$22:$B$27</definedName>
    <definedName function="false" hidden="false" name="KorsairWoman" vbProcedure="false">PrivateData!$B$22:$B$27</definedName>
    <definedName function="false" hidden="false" name="Korsair_Plus" vbProcedure="false">PrivateData!$D$2:$D$3</definedName>
    <definedName function="false" hidden="false" name="Korsair_PlusMan" vbProcedure="false">PrivateData!$B$22:$B$27</definedName>
    <definedName function="false" hidden="false" name="Korsair_PlusWoman" vbProcedure="false">PrivateData!$B$22:$B$27</definedName>
    <definedName function="false" hidden="false" name="Kuxin" vbProcedure="false">PrivateData!$C$13</definedName>
    <definedName function="false" hidden="false" name="KuxinSublimated" vbProcedure="false">PrivateData!$E$19</definedName>
    <definedName function="false" hidden="false" name="Legging" vbProcedure="false">PrivateData!$E$2:$E$3</definedName>
    <definedName function="false" hidden="false" name="LeggingMan" vbProcedure="false">PrivateData!$B$22:$B$27</definedName>
    <definedName function="false" hidden="false" name="LeggingWoman" vbProcedure="false">PrivateData!$B$22:$B$27</definedName>
    <definedName function="false" hidden="false" name="Ohiko" vbProcedure="false">PrivateData!$B$2:$B$4</definedName>
    <definedName function="false" hidden="false" name="OhikoKid" vbProcedure="false">PrivateData!$B$19:$B$21</definedName>
    <definedName function="false" hidden="false" name="OhikoMan" vbProcedure="false">PrivateData!$B$22:$B$28</definedName>
    <definedName function="false" hidden="false" name="OhikoWoman" vbProcedure="false">PrivateData!$B$23:$B$27</definedName>
    <definedName function="false" hidden="false" name="Ohiko_LongSleeves" vbProcedure="false">PrivateData!$B$2:$B$4</definedName>
    <definedName function="false" hidden="false" name="Ohiko_LongSleevesKid" vbProcedure="false">PrivateData!$B$19:$B$21</definedName>
    <definedName function="false" hidden="false" name="Ohiko_LongSleevesMan" vbProcedure="false">PrivateData!$B$22:$B$28</definedName>
    <definedName function="false" hidden="false" name="Ohiko_LongSleevesWoman" vbProcedure="false">PrivateData!$B$23:$B$27</definedName>
    <definedName function="false" hidden="false" name="PAYS" vbProcedure="false">PrivateData!$L$1:$L$240</definedName>
    <definedName function="false" hidden="false" name="Products" vbProcedure="false">PrivateData!$A$2:$A$54</definedName>
    <definedName function="false" hidden="false" name="Rectangular_Flag" vbProcedure="false">PrivateData!$D$13</definedName>
    <definedName function="false" hidden="false" name="Rectangular_FlagSublimated" vbProcedure="false">PrivateData!$B$32:$B$33</definedName>
    <definedName function="false" hidden="false" name="Reversible" vbProcedure="false">PrivateData!$F$2</definedName>
    <definedName function="false" hidden="false" name="ReversibleUnisex" vbProcedure="false">PrivateData!$B$19:$B$28</definedName>
    <definedName function="false" hidden="false" name="Short" vbProcedure="false">PrivateData!$C$2:$C$6</definedName>
    <definedName function="false" hidden="false" name="ShortBeach_Woman" vbProcedure="false">PrivateData!$C$22:$C$26</definedName>
    <definedName function="false" hidden="false" name="ShortLong" vbProcedure="false">PrivateData!$C$19:$C$27</definedName>
    <definedName function="false" hidden="false" name="ShortMultisport" vbProcedure="false">PrivateData!$C$19:$C$27</definedName>
    <definedName function="false" hidden="false" name="ShortTight_Woman" vbProcedure="false">PrivateData!$C$22:$C$26</definedName>
    <definedName function="false" hidden="false" name="ShortWoman" vbProcedure="false">PrivateData!$C$22:$C$26</definedName>
    <definedName function="false" hidden="false" name="Skirt" vbProcedure="false">PrivateData!$C$4</definedName>
    <definedName function="false" hidden="false" name="SkirtWoman" vbProcedure="false">PrivateData!$C$22:$C$26</definedName>
    <definedName function="false" hidden="false" name="Snood" vbProcedure="false">PrivateData!$C$13</definedName>
    <definedName function="false" hidden="false" name="SnoodSublimated" vbProcedure="false">PrivateData!$E$19</definedName>
    <definedName function="false" hidden="false" name="Softshell" vbProcedure="false">PrivateData!$B$2:$B$3</definedName>
    <definedName function="false" hidden="false" name="SoftshellMan" vbProcedure="false">PrivateData!$B$23:$B$28</definedName>
    <definedName function="false" hidden="false" name="SoftshellWoman" vbProcedure="false">PrivateData!$B$23:$B$27</definedName>
    <definedName function="false" hidden="false" name="Surf_Top" vbProcedure="false">PrivateData!$B$2:$B$4</definedName>
    <definedName function="false" hidden="false" name="Surf_TopKid" vbProcedure="false">PrivateData!$B$19:$B$21</definedName>
    <definedName function="false" hidden="false" name="Surf_TopMan" vbProcedure="false">PrivateData!$B$22:$B$28</definedName>
    <definedName function="false" hidden="false" name="Surf_TopWoman" vbProcedure="false">PrivateData!$B$23:$B$27</definedName>
    <definedName function="false" hidden="false" name="Tank" vbProcedure="false">PrivateData!$B$2:$B$4</definedName>
    <definedName function="false" hidden="false" name="TankKid" vbProcedure="false">PrivateData!$B$19:$B$21</definedName>
    <definedName function="false" hidden="false" name="TankMan" vbProcedure="false">PrivateData!$B$22:$B$28</definedName>
    <definedName function="false" hidden="false" name="TankWoman" vbProcedure="false">PrivateData!$B$23:$B$27</definedName>
    <definedName function="false" hidden="false" name="Thermal_Warmer" vbProcedure="false">PrivateData!$C$13</definedName>
    <definedName function="false" hidden="false" name="Thermal_WarmerSublimated" vbProcedure="false">PrivateData!$E$19</definedName>
    <definedName function="false" hidden="false" name="Towel" vbProcedure="false">PrivateData!$C$13</definedName>
    <definedName function="false" hidden="false" name="Underwear" vbProcedure="false">PrivateData!$E$2:$E$3</definedName>
    <definedName function="false" hidden="false" name="UnderwearMan" vbProcedure="false">PrivateData!$B$22:$B$27</definedName>
    <definedName function="false" hidden="false" name="UnderwearWoman" vbProcedure="false">PrivateData!$B$22:$B$27</definedName>
    <definedName function="false" hidden="false" name="Volley" vbProcedure="false">PrivateData!$B$2:$B$4</definedName>
    <definedName function="false" hidden="false" name="VolleyKid" vbProcedure="false">PrivateData!$B$19:$B$21</definedName>
    <definedName function="false" hidden="false" name="VolleyMan" vbProcedure="false">PrivateData!$B$22:$B$28</definedName>
    <definedName function="false" hidden="false" name="VolleyWoman" vbProcedure="false">PrivateData!$B$23:$B$27</definedName>
    <definedName function="false" hidden="false" name="Wristband" vbProcedure="false">PrivateData!$C$13</definedName>
    <definedName function="false" hidden="false" name="WristbandSublimated" vbProcedure="false">PrivateData!$E$19</definedName>
    <definedName function="false" hidden="false" name="Ziklo" vbProcedure="false">PrivateData!$B$2:$B$4</definedName>
    <definedName function="false" hidden="false" name="ZikloKid" vbProcedure="false">PrivateData!$B$19:$B$21</definedName>
    <definedName function="false" hidden="false" name="ZikloMan" vbProcedure="false">PrivateData!$B$22:$B$28</definedName>
    <definedName function="false" hidden="false" name="ZikloWoman" vbProcedure="false">PrivateData!$B$23:$B$27</definedName>
  </definedName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<sst xmlns="http://schemas.openxmlformats.org/spreadsheetml/2006/main" count="629" uniqueCount="390">
  <si>
    <t xml:space="preserve">English</t>
  </si>
  <si>
    <t xml:space="preserve">First Name</t>
  </si>
  <si>
    <t xml:space="preserve">Jonas</t>
  </si>
  <si>
    <t xml:space="preserve">Address</t>
  </si>
  <si>
    <t xml:space="preserve">Große Straße 8</t>
  </si>
  <si>
    <t xml:space="preserve">Last Name</t>
  </si>
  <si>
    <t xml:space="preserve">Sitzmann</t>
  </si>
  <si>
    <t xml:space="preserve">Postcode</t>
  </si>
  <si>
    <t xml:space="preserve">Team Name</t>
  </si>
  <si>
    <t xml:space="preserve">Rotpot</t>
  </si>
  <si>
    <t xml:space="preserve">City</t>
  </si>
  <si>
    <t xml:space="preserve">Braunschweig</t>
  </si>
  <si>
    <t xml:space="preserve">Email</t>
  </si>
  <si>
    <t xml:space="preserve">jonasitzmann@hotmail.de</t>
  </si>
  <si>
    <t xml:space="preserve">Country</t>
  </si>
  <si>
    <t xml:space="preserve">Germany</t>
  </si>
  <si>
    <t xml:space="preserve">Mobile</t>
  </si>
  <si>
    <t xml:space="preserve">+4915780439877</t>
  </si>
  <si>
    <t xml:space="preserve">Telephone</t>
  </si>
  <si>
    <t xml:space="preserve">Marcel</t>
  </si>
  <si>
    <t xml:space="preserve">Schölkestr. 22</t>
  </si>
  <si>
    <t xml:space="preserve">Klinge</t>
  </si>
  <si>
    <t xml:space="preserve">+4917663374541</t>
  </si>
  <si>
    <t xml:space="preserve">Total</t>
  </si>
  <si>
    <t xml:space="preserve">No</t>
  </si>
  <si>
    <t xml:space="preserve">Ohiko</t>
  </si>
  <si>
    <t xml:space="preserve">Man</t>
  </si>
  <si>
    <t xml:space="preserve">S</t>
  </si>
  <si>
    <t xml:space="preserve">Nils</t>
  </si>
  <si>
    <t xml:space="preserve">blue</t>
  </si>
  <si>
    <t xml:space="preserve">grey</t>
  </si>
  <si>
    <t xml:space="preserve">Short</t>
  </si>
  <si>
    <t xml:space="preserve">Multisport</t>
  </si>
  <si>
    <t xml:space="preserve">M</t>
  </si>
  <si>
    <t xml:space="preserve">Bierfreund</t>
  </si>
  <si>
    <t xml:space="preserve">Ohiko_LongSleeves</t>
  </si>
  <si>
    <t xml:space="preserve">black</t>
  </si>
  <si>
    <t xml:space="preserve">Kanpaia</t>
  </si>
  <si>
    <t xml:space="preserve">Woman</t>
  </si>
  <si>
    <t xml:space="preserve">Annika</t>
  </si>
  <si>
    <t xml:space="preserve">L</t>
  </si>
  <si>
    <t xml:space="preserve">Elena</t>
  </si>
  <si>
    <t xml:space="preserve">Patrick</t>
  </si>
  <si>
    <t xml:space="preserve">Long</t>
  </si>
  <si>
    <t xml:space="preserve">XL</t>
  </si>
  <si>
    <t xml:space="preserve">Kathi</t>
  </si>
  <si>
    <t xml:space="preserve">Tank</t>
  </si>
  <si>
    <t xml:space="preserve">Julia</t>
  </si>
  <si>
    <t xml:space="preserve">Hannes</t>
  </si>
  <si>
    <t xml:space="preserve">Argia</t>
  </si>
  <si>
    <t xml:space="preserve">Matthis</t>
  </si>
  <si>
    <t xml:space="preserve">XS</t>
  </si>
  <si>
    <t xml:space="preserve">XXL</t>
  </si>
  <si>
    <t xml:space="preserve">XXXL</t>
  </si>
  <si>
    <t xml:space="preserve">Airez</t>
  </si>
  <si>
    <t xml:space="preserve">Azkar</t>
  </si>
  <si>
    <t xml:space="preserve">Azkar Long Sleeves</t>
  </si>
  <si>
    <t xml:space="preserve">Casual Tee</t>
  </si>
  <si>
    <t xml:space="preserve">Casual Tee Pocket</t>
  </si>
  <si>
    <t xml:space="preserve">Compression Top</t>
  </si>
  <si>
    <t xml:space="preserve">Compression Top Long Sleeves</t>
  </si>
  <si>
    <t xml:space="preserve">Dotoreak</t>
  </si>
  <si>
    <t xml:space="preserve">Dotoreak Long Sleeves</t>
  </si>
  <si>
    <t xml:space="preserve">Erritmo</t>
  </si>
  <si>
    <t xml:space="preserve">Iribazi</t>
  </si>
  <si>
    <t xml:space="preserve">Iribazi Long Sleeves</t>
  </si>
  <si>
    <t xml:space="preserve">Jaketa</t>
  </si>
  <si>
    <t xml:space="preserve">Jauzi</t>
  </si>
  <si>
    <t xml:space="preserve">Korrika</t>
  </si>
  <si>
    <t xml:space="preserve">Ohiko Long Sleeves</t>
  </si>
  <si>
    <t xml:space="preserve">Reversible</t>
  </si>
  <si>
    <t xml:space="preserve">Unisex</t>
  </si>
  <si>
    <t xml:space="preserve">Volley</t>
  </si>
  <si>
    <t xml:space="preserve">Softshell</t>
  </si>
  <si>
    <t xml:space="preserve">Surf Top</t>
  </si>
  <si>
    <t xml:space="preserve">Ziklo</t>
  </si>
  <si>
    <t xml:space="preserve">S-M</t>
  </si>
  <si>
    <t xml:space="preserve">L-XL</t>
  </si>
  <si>
    <t xml:space="preserve">Half Leg</t>
  </si>
  <si>
    <t xml:space="preserve">Korsair</t>
  </si>
  <si>
    <t xml:space="preserve">Korsair Plus</t>
  </si>
  <si>
    <t xml:space="preserve">Legging</t>
  </si>
  <si>
    <t xml:space="preserve">Underwear</t>
  </si>
  <si>
    <t xml:space="preserve">Fanion</t>
  </si>
  <si>
    <t xml:space="preserve">Shorts/Skirt</t>
  </si>
  <si>
    <t xml:space="preserve">Handwarmer</t>
  </si>
  <si>
    <t xml:space="preserve">Shorts Long</t>
  </si>
  <si>
    <t xml:space="preserve">Shorts Multisport</t>
  </si>
  <si>
    <t xml:space="preserve">Thermal Warmer</t>
  </si>
  <si>
    <t xml:space="preserve">Shorts Woman</t>
  </si>
  <si>
    <t xml:space="preserve">Towel</t>
  </si>
  <si>
    <t xml:space="preserve">Shorts  Beach Woman</t>
  </si>
  <si>
    <t xml:space="preserve">Kuxin</t>
  </si>
  <si>
    <t xml:space="preserve">Shorts Tight Woman</t>
  </si>
  <si>
    <t xml:space="preserve">Skirt</t>
  </si>
  <si>
    <t xml:space="preserve">Total Shorts</t>
  </si>
  <si>
    <t xml:space="preserve">Products</t>
  </si>
  <si>
    <t xml:space="preserve">Gender Shirt</t>
  </si>
  <si>
    <t xml:space="preserve">Gender Short</t>
  </si>
  <si>
    <t xml:space="preserve">Gender No Kids</t>
  </si>
  <si>
    <t xml:space="preserve">Gender Legs</t>
  </si>
  <si>
    <t xml:space="preserve">Afghanistan</t>
  </si>
  <si>
    <t xml:space="preserve">abcdefghijklmnopqrstuvwxyz</t>
  </si>
  <si>
    <t xml:space="preserve">----- Top -----</t>
  </si>
  <si>
    <t xml:space="preserve">Albania</t>
  </si>
  <si>
    <t xml:space="preserve">Kid</t>
  </si>
  <si>
    <t xml:space="preserve">Algeria</t>
  </si>
  <si>
    <t xml:space="preserve">Beach_Woman</t>
  </si>
  <si>
    <t xml:space="preserve">American Samoa</t>
  </si>
  <si>
    <t xml:space="preserve">Tight_Woman</t>
  </si>
  <si>
    <t xml:space="preserve">Andorra</t>
  </si>
  <si>
    <t xml:space="preserve">Azkar_LongSleeves</t>
  </si>
  <si>
    <t xml:space="preserve">Angola</t>
  </si>
  <si>
    <t xml:space="preserve">Casual_Tee</t>
  </si>
  <si>
    <t xml:space="preserve">Anguilla</t>
  </si>
  <si>
    <t xml:space="preserve">Casual_Tee_Pocket</t>
  </si>
  <si>
    <t xml:space="preserve">Antarctica</t>
  </si>
  <si>
    <t xml:space="preserve">Compression_Top</t>
  </si>
  <si>
    <t xml:space="preserve">Antigua and Barbuda</t>
  </si>
  <si>
    <t xml:space="preserve">Compression_Top_LongSleeves</t>
  </si>
  <si>
    <t xml:space="preserve">Argentina</t>
  </si>
  <si>
    <t xml:space="preserve">Type Cap</t>
  </si>
  <si>
    <t xml:space="preserve">Type Accessories</t>
  </si>
  <si>
    <t xml:space="preserve">Type Flag</t>
  </si>
  <si>
    <t xml:space="preserve">Armenia</t>
  </si>
  <si>
    <t xml:space="preserve">Dotoreak_LongSleeves</t>
  </si>
  <si>
    <t xml:space="preserve">Flexfit</t>
  </si>
  <si>
    <t xml:space="preserve">Sublimated</t>
  </si>
  <si>
    <t xml:space="preserve">Aruba</t>
  </si>
  <si>
    <t xml:space="preserve">Trucker</t>
  </si>
  <si>
    <t xml:space="preserve">Australia</t>
  </si>
  <si>
    <t xml:space="preserve">Austria</t>
  </si>
  <si>
    <t xml:space="preserve">Iribazi_LongSleeves</t>
  </si>
  <si>
    <t xml:space="preserve">Azerbaijan</t>
  </si>
  <si>
    <t xml:space="preserve">Bahamas</t>
  </si>
  <si>
    <t xml:space="preserve">Sizes</t>
  </si>
  <si>
    <t xml:space="preserve">Sizes Short</t>
  </si>
  <si>
    <t xml:space="preserve">Sizes Sleeves/Caps</t>
  </si>
  <si>
    <t xml:space="preserve">Size Unique</t>
  </si>
  <si>
    <t xml:space="preserve">Bahrain</t>
  </si>
  <si>
    <t xml:space="preserve">onesize</t>
  </si>
  <si>
    <t xml:space="preserve">Bangladesh</t>
  </si>
  <si>
    <t xml:space="preserve">Barbados</t>
  </si>
  <si>
    <t xml:space="preserve">Belarus</t>
  </si>
  <si>
    <t xml:space="preserve">Belgium</t>
  </si>
  <si>
    <t xml:space="preserve">Belize</t>
  </si>
  <si>
    <t xml:space="preserve">Surf_Top</t>
  </si>
  <si>
    <t xml:space="preserve">Benin</t>
  </si>
  <si>
    <t xml:space="preserve">Bermuda</t>
  </si>
  <si>
    <t xml:space="preserve">Bhutan</t>
  </si>
  <si>
    <t xml:space="preserve">Bolivia</t>
  </si>
  <si>
    <t xml:space="preserve">----- Bottom -----</t>
  </si>
  <si>
    <t xml:space="preserve">Bosnia and Herzegovina</t>
  </si>
  <si>
    <t xml:space="preserve">Botswana</t>
  </si>
  <si>
    <t xml:space="preserve">Half_Leg</t>
  </si>
  <si>
    <t xml:space="preserve">Brazil</t>
  </si>
  <si>
    <t xml:space="preserve">Size Rect Flag</t>
  </si>
  <si>
    <t xml:space="preserve">Size BeachFlag</t>
  </si>
  <si>
    <t xml:space="preserve">Size Foot</t>
  </si>
  <si>
    <t xml:space="preserve">Brunei Darussalam</t>
  </si>
  <si>
    <t xml:space="preserve">Korsair_Plus</t>
  </si>
  <si>
    <t xml:space="preserve">150x85</t>
  </si>
  <si>
    <t xml:space="preserve">450x80</t>
  </si>
  <si>
    <t xml:space="preserve">Grass_Spike</t>
  </si>
  <si>
    <t xml:space="preserve">Bulgaria</t>
  </si>
  <si>
    <t xml:space="preserve">134x123</t>
  </si>
  <si>
    <t xml:space="preserve">350x62</t>
  </si>
  <si>
    <t xml:space="preserve">Sand_Screw</t>
  </si>
  <si>
    <t xml:space="preserve">Burkina Faso</t>
  </si>
  <si>
    <t xml:space="preserve">250x48</t>
  </si>
  <si>
    <t xml:space="preserve">Burundi</t>
  </si>
  <si>
    <t xml:space="preserve">Cambodia</t>
  </si>
  <si>
    <t xml:space="preserve">----- Accessories -----</t>
  </si>
  <si>
    <t xml:space="preserve">Cameroon</t>
  </si>
  <si>
    <t xml:space="preserve">Cap</t>
  </si>
  <si>
    <t xml:space="preserve">Canada</t>
  </si>
  <si>
    <t xml:space="preserve">Compression_Sleeves</t>
  </si>
  <si>
    <t xml:space="preserve">Cape Verde</t>
  </si>
  <si>
    <t xml:space="preserve">Drawstring_Bag</t>
  </si>
  <si>
    <t xml:space="preserve">Cayman Islands</t>
  </si>
  <si>
    <t xml:space="preserve">Gloves</t>
  </si>
  <si>
    <t xml:space="preserve">Central African Republic</t>
  </si>
  <si>
    <t xml:space="preserve">Chad</t>
  </si>
  <si>
    <t xml:space="preserve">Headband</t>
  </si>
  <si>
    <t xml:space="preserve">Chile</t>
  </si>
  <si>
    <t xml:space="preserve">China</t>
  </si>
  <si>
    <t xml:space="preserve">Snood</t>
  </si>
  <si>
    <t xml:space="preserve">Colombia</t>
  </si>
  <si>
    <t xml:space="preserve">Comoros</t>
  </si>
  <si>
    <t xml:space="preserve">Thermal_Warmer</t>
  </si>
  <si>
    <t xml:space="preserve">Congo</t>
  </si>
  <si>
    <t xml:space="preserve">Congo, The Democratic Republic of The</t>
  </si>
  <si>
    <t xml:space="preserve">Wristband</t>
  </si>
  <si>
    <t xml:space="preserve">Cook Islands</t>
  </si>
  <si>
    <t xml:space="preserve">----- Flags -----</t>
  </si>
  <si>
    <t xml:space="preserve">Costa Rica</t>
  </si>
  <si>
    <t xml:space="preserve">Beach_Flag</t>
  </si>
  <si>
    <t xml:space="preserve">Cote D'ivoire</t>
  </si>
  <si>
    <t xml:space="preserve">Rectangular_Flag</t>
  </si>
  <si>
    <t xml:space="preserve">Croatia</t>
  </si>
  <si>
    <t xml:space="preserve">Cuba</t>
  </si>
  <si>
    <t xml:space="preserve">Foot</t>
  </si>
  <si>
    <t xml:space="preserve">Cyprus</t>
  </si>
  <si>
    <t xml:space="preserve">Garland</t>
  </si>
  <si>
    <t xml:space="preserve">Czech Republic</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</si>
  <si>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</si>
  <si>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</si>
  <si>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</si>
  <si>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</si>
  <si>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</si>
  <si>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</si>
  <si>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</si>
  <si>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</si>
  <si>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</si>
  <si>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</si>
  <si>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Ethiopia</t>
  </si>
  <si>
    <t xml:space="preserve">Falkland Islands (Malvinas)</t>
  </si>
  <si>
    <t xml:space="preserve">Faroe Islands</t>
  </si>
  <si>
    <t xml:space="preserve">Fiji</t>
  </si>
  <si>
    <t xml:space="preserve">Finland</t>
  </si>
  <si>
    <t xml:space="preserve">France</t>
  </si>
  <si>
    <t xml:space="preserve">French Guiana</t>
  </si>
  <si>
    <t xml:space="preserve">French Polynesia</t>
  </si>
  <si>
    <t xml:space="preserve">French Southern Territories</t>
  </si>
  <si>
    <t xml:space="preserve">Gabon</t>
  </si>
  <si>
    <t xml:space="preserve">Gambia</t>
  </si>
  <si>
    <t xml:space="preserve">Georgia</t>
  </si>
  <si>
    <t xml:space="preserve">Ghana</t>
  </si>
  <si>
    <t xml:space="preserve">Gibraltar</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</si>
  <si>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</si>
  <si>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</si>
  <si>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</si>
  <si>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</si>
  <si>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</si>
  <si>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</si>
  <si>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</si>
  <si>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</si>
  <si>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</si>
  <si>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</si>
  <si>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</si>
  <si>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Holy See (Vatican City State)</t>
  </si>
  <si>
    <t xml:space="preserve">Honduras</t>
  </si>
  <si>
    <t xml:space="preserve">Hong Kong</t>
  </si>
  <si>
    <t xml:space="preserve">Hungary</t>
  </si>
  <si>
    <t xml:space="preserve">Iceland</t>
  </si>
  <si>
    <t xml:space="preserve">India</t>
  </si>
  <si>
    <t xml:space="preserve">Indonesia</t>
  </si>
  <si>
    <t xml:space="preserve">Iran, Islamic Republic of</t>
  </si>
  <si>
    <t xml:space="preserve">Iraq</t>
  </si>
  <si>
    <t xml:space="preserve">Ireland</t>
  </si>
  <si>
    <t xml:space="preserve">Isle of Man</t>
  </si>
  <si>
    <t xml:space="preserve">Israel</t>
  </si>
  <si>
    <t xml:space="preserve">Italy</t>
  </si>
  <si>
    <t xml:space="preserve">Jamaica</t>
  </si>
  <si>
    <t xml:space="preserve">Japan</t>
  </si>
  <si>
    <t xml:space="preserve">Jersey</t>
  </si>
  <si>
    <t xml:space="preserve">Jordan</t>
  </si>
  <si>
    <t xml:space="preserve">Kazakhstan</t>
  </si>
  <si>
    <t xml:space="preserve">Kenya</t>
  </si>
  <si>
    <t xml:space="preserve">Kiribati</t>
  </si>
  <si>
    <t xml:space="preserve">Korea, Democratic People's Republic of</t>
  </si>
  <si>
    <t xml:space="preserve">Korea, Republic of</t>
  </si>
  <si>
    <t xml:space="preserve">Kuwait</t>
  </si>
  <si>
    <t xml:space="preserve">Kyrgyzstan</t>
  </si>
  <si>
    <t xml:space="preserve">Lao People's Democratic Republic</t>
  </si>
  <si>
    <t xml:space="preserve">Latvia</t>
  </si>
  <si>
    <t xml:space="preserve">Lebanon</t>
  </si>
  <si>
    <t xml:space="preserve">Lesotho</t>
  </si>
  <si>
    <t xml:space="preserve">Liberia</t>
  </si>
  <si>
    <t xml:space="preserve">Libyan Arab Jamahiriya</t>
  </si>
  <si>
    <t xml:space="preserve">Liechtenstein</t>
  </si>
  <si>
    <t xml:space="preserve">Lithuania</t>
  </si>
  <si>
    <t xml:space="preserve">Luxembourg</t>
  </si>
  <si>
    <t xml:space="preserve">Macao</t>
  </si>
  <si>
    <t xml:space="preserve">Macedonia, The Former Yugoslav Republic of</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</si>
  <si>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</si>
  <si>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</si>
  <si>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</si>
  <si>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</si>
  <si>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</si>
  <si>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</si>
  <si>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</si>
  <si>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</si>
  <si>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</si>
  <si>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</si>
  <si>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</si>
  <si>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</si>
  <si>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 Federated States of</t>
  </si>
  <si>
    <t xml:space="preserve">Moldova, Republic of</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</si>
  <si>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</si>
  <si>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</si>
  <si>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</si>
  <si>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</si>
  <si>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</si>
  <si>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</si>
  <si>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</si>
  <si>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</si>
  <si>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</si>
  <si>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</si>
  <si>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</si>
  <si>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Netherlands Antilles</t>
  </si>
  <si>
    <t xml:space="preserve">New Caledonia</t>
  </si>
  <si>
    <t xml:space="preserve">New Zealand</t>
  </si>
  <si>
    <t xml:space="preserve">Nicaragua</t>
  </si>
  <si>
    <t xml:space="preserve">Niger</t>
  </si>
  <si>
    <t xml:space="preserve">Nigeria</t>
  </si>
  <si>
    <t xml:space="preserve">Niue</t>
  </si>
  <si>
    <t xml:space="preserve">Norfolk Island</t>
  </si>
  <si>
    <t xml:space="preserve">Northern Irland</t>
  </si>
  <si>
    <t xml:space="preserve">Northern Mariana Islands</t>
  </si>
  <si>
    <t xml:space="preserve">Norway</t>
  </si>
  <si>
    <t xml:space="preserve">Oman</t>
  </si>
  <si>
    <t xml:space="preserve">Pakistan</t>
  </si>
  <si>
    <t xml:space="preserve">Palau</t>
  </si>
  <si>
    <t xml:space="preserve">Palestinian Territory, Occupied</t>
  </si>
  <si>
    <t xml:space="preserve">Panama</t>
  </si>
  <si>
    <t xml:space="preserve">Papua New Guinea</t>
  </si>
  <si>
    <t xml:space="preserve">Paraguay</t>
  </si>
  <si>
    <t xml:space="preserve">Peru</t>
  </si>
  <si>
    <t xml:space="preserve">Philippines</t>
  </si>
  <si>
    <t xml:space="preserve">Pitcairn</t>
  </si>
  <si>
    <t xml:space="preserve">Poland</t>
  </si>
  <si>
    <t xml:space="preserve">Portugal</t>
  </si>
  <si>
    <t xml:space="preserve">Puerto Rico</t>
  </si>
  <si>
    <t xml:space="preserve">Qatar</t>
  </si>
  <si>
    <t xml:space="preserve">Reunion</t>
  </si>
  <si>
    <t xml:space="preserve">Romania</t>
  </si>
  <si>
    <t xml:space="preserve">Russian Federation</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</si>
  <si>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</si>
  <si>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</si>
  <si>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</si>
  <si>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</si>
  <si>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</si>
  <si>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</si>
  <si>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</si>
  <si>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</si>
  <si>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</si>
  <si>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</si>
  <si>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</si>
  <si>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</si>
  <si>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</si>
  <si>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</si>
  <si>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</si>
  <si>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Slovakia</t>
  </si>
  <si>
    <t xml:space="preserve">Slovenia</t>
  </si>
  <si>
    <t xml:space="preserve">Solomon Islands</t>
  </si>
  <si>
    <t xml:space="preserve">Somalia</t>
  </si>
  <si>
    <t xml:space="preserve">South Africa</t>
  </si>
  <si>
    <t xml:space="preserve">South Georgia and The South Sandwich Islands</t>
  </si>
  <si>
    <t xml:space="preserve">Spain</t>
  </si>
  <si>
    <t xml:space="preserve">Sri Lanka</t>
  </si>
  <si>
    <t xml:space="preserve">Sudan</t>
  </si>
  <si>
    <t xml:space="preserve">Suriname</t>
  </si>
  <si>
    <t xml:space="preserve">Svalbard and Jan Mayen</t>
  </si>
  <si>
    <t xml:space="preserve">Swaziland</t>
  </si>
  <si>
    <t xml:space="preserve">Sweden</t>
  </si>
  <si>
    <t xml:space="preserve">Switzerland</t>
  </si>
  <si>
    <t xml:space="preserve">Syrian Arab Republic</t>
  </si>
  <si>
    <t xml:space="preserve">Taiwan, Province of China</t>
  </si>
  <si>
    <t xml:space="preserve">Tajikistan</t>
  </si>
  <si>
    <t xml:space="preserve">Tanzania, United Republic of</t>
  </si>
  <si>
    <t xml:space="preserve">Thailand</t>
  </si>
  <si>
    <t xml:space="preserve">Timor-leste</t>
  </si>
  <si>
    <t xml:space="preserve">Togo</t>
  </si>
  <si>
    <t xml:space="preserve">Tokelau</t>
  </si>
  <si>
    <t xml:space="preserve">Tonga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</si>
  <si>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</si>
  <si>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</si>
  <si>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</si>
  <si>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</si>
  <si>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</si>
  <si>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</si>
  <si>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</si>
  <si>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</si>
  <si>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</si>
  <si>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</si>
  <si>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States</t>
  </si>
  <si>
    <t xml:space="preserve">United States Minor Outlying Islands</t>
  </si>
  <si>
    <t xml:space="preserve">Uruguay</t>
  </si>
  <si>
    <t xml:space="preserve">Uzbekistan</t>
  </si>
  <si>
    <t xml:space="preserve">Vanuatu</t>
  </si>
  <si>
    <t xml:space="preserve">Venezuela</t>
  </si>
  <si>
    <t xml:space="preserve">Viet Nam</t>
  </si>
  <si>
    <t xml:space="preserve">Virgin Islands, British</t>
  </si>
  <si>
    <t xml:space="preserve">Virgin Islands, U.S.</t>
  </si>
  <si>
    <t xml:space="preserve">Wallis and Futuna</t>
  </si>
  <si>
    <t xml:space="preserve">Western Sahara</t>
  </si>
  <si>
    <t xml:space="preserve">Yemen</t>
  </si>
  <si>
    <t xml:space="preserve">Zambia</t>
  </si>
  <si>
    <t xml:space="preserve">Zimbabwe</t>
  </si>
</sst>
</file>

<file path=xl/styles.xml><?xml version="1.0" encoding="utf-8"?>
<styleSheet xmlns="http://schemas.openxmlformats.org/spreadsheetml/2006/main">
  <numFmts count="3">
    <numFmt numFmtId="164" formatCode="General"/>
    <numFmt numFmtId="165" formatCode="General"/>
    <numFmt numFmtId="166" formatCode="@"/>
  </numFmts>
  <fonts count="16">
    <font>
      <sz val="10"/>
      <name val="Arial"/>
      <family val="2"/>
      <charset val="1"/>
    </font>
    <font>
      <sz val="10"/>
      <name val="Arial"/>
      <family val="0"/>
    </font>
    <font>
      <sz val="10"/>
      <name val="Arial"/>
      <family val="0"/>
    </font>
    <font>
      <sz val="10"/>
      <name val="Arial"/>
      <family val="0"/>
    </font>
    <font>
      <b val="true"/>
      <sz val="14"/>
      <name val="Arial"/>
      <family val="2"/>
      <charset val="1"/>
    </font>
    <font>
      <sz val="11"/>
      <color rgb="FF000000"/>
      <name val="Segoe UI"/>
      <family val="2"/>
      <charset val="1"/>
    </font>
    <font>
      <b val="true"/>
      <sz val="16"/>
      <color rgb="FFFFFFFF"/>
      <name val="Arial"/>
      <family val="2"/>
      <charset val="1"/>
    </font>
    <font>
      <sz val="12"/>
      <name val="Arial"/>
      <family val="2"/>
      <charset val="1"/>
    </font>
    <font>
      <sz val="10"/>
      <name val="Segoe UI Symbol"/>
      <family val="2"/>
      <charset val="1"/>
    </font>
    <font>
      <b val="true"/>
      <sz val="10"/>
      <color rgb="FFFFFFFF"/>
      <name val="Arial"/>
      <family val="2"/>
      <charset val="1"/>
    </font>
    <font>
      <sz val="10"/>
      <color rgb="FFFFFFFF"/>
      <name val="Arial"/>
      <family val="2"/>
      <charset val="1"/>
    </font>
    <font>
      <b val="true"/>
      <sz val="10"/>
      <name val="Arial"/>
      <family val="2"/>
      <charset val="1"/>
    </font>
    <font>
      <sz val="10"/>
      <color rgb="FF333399"/>
      <name val="Arial"/>
      <family val="2"/>
      <charset val="1"/>
    </font>
    <font>
      <b val="true"/>
      <sz val="26"/>
      <name val="Arial"/>
      <family val="2"/>
      <charset val="1"/>
    </font>
    <font>
      <b val="true"/>
      <sz val="11"/>
      <color rgb="FFFFFFFF"/>
      <name val="Arial"/>
      <family val="2"/>
      <charset val="1"/>
    </font>
    <font>
      <b val="true"/>
      <sz val="11"/>
      <color rgb="FF000000"/>
      <name val="Arial"/>
      <family val="2"/>
      <charset val="1"/>
    </font>
  </fonts>
  <fills count="8">
    <fill>
      <patternFill patternType="none"/>
    </fill>
    <fill>
      <patternFill patternType="gray125"/>
    </fill>
    <fill>
      <patternFill patternType="solid">
        <fgColor rgb="FFFFFFFF"/>
        <bgColor rgb="FFEEEEEC"/>
      </patternFill>
    </fill>
    <fill>
      <patternFill patternType="solid">
        <fgColor rgb="FF339966"/>
        <bgColor rgb="FF008080"/>
      </patternFill>
    </fill>
    <fill>
      <patternFill patternType="solid">
        <fgColor rgb="FF333399"/>
        <bgColor rgb="FF003366"/>
      </patternFill>
    </fill>
    <fill>
      <patternFill patternType="solid">
        <fgColor rgb="FF99CCFF"/>
        <bgColor rgb="FFCCCCFF"/>
      </patternFill>
    </fill>
    <fill>
      <patternFill patternType="solid">
        <fgColor rgb="FF808080"/>
        <bgColor rgb="FF969696"/>
      </patternFill>
    </fill>
    <fill>
      <patternFill patternType="solid">
        <fgColor rgb="FF33CCCC"/>
        <bgColor rgb="FF00CCFF"/>
      </patternFill>
    </fill>
  </fills>
  <borders count="1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style="thin"/>
      <top/>
      <bottom/>
      <diagonal/>
    </border>
    <border diagonalUp="false" diagonalDown="false">
      <left/>
      <right/>
      <top style="thin"/>
      <bottom style="thin"/>
      <diagonal/>
    </border>
    <border diagonalUp="false" diagonalDown="false">
      <left/>
      <right/>
      <top style="thin"/>
      <bottom/>
      <diagonal/>
    </border>
    <border diagonalUp="false" diagonalDown="false">
      <left style="thin"/>
      <right style="thin"/>
      <top style="thin"/>
      <bottom/>
      <diagonal/>
    </border>
    <border diagonalUp="false" diagonalDown="false">
      <left style="thin"/>
      <right/>
      <top/>
      <bottom/>
      <diagonal/>
    </border>
    <border diagonalUp="false" diagonalDown="false">
      <left style="thin">
        <color rgb="FFEEEEEC"/>
      </left>
      <right style="thin">
        <color rgb="FFEEEEEC"/>
      </right>
      <top style="thin">
        <color rgb="FFEEEEEC"/>
      </top>
      <bottom style="thin">
        <color rgb="FFEEEEEC"/>
      </bottom>
      <diagonal/>
    </border>
    <border diagonalUp="false" diagonalDown="false">
      <left style="thin">
        <color rgb="FFEEEEEC"/>
      </left>
      <right/>
      <top/>
      <bottom/>
      <diagonal/>
    </border>
    <border diagonalUp="false" diagonalDown="false">
      <left style="medium"/>
      <right/>
      <top/>
      <bottom style="thin"/>
      <diagonal/>
    </border>
    <border diagonalUp="false" diagonalDown="false">
      <left style="thin"/>
      <right style="thin"/>
      <top/>
      <bottom style="thin"/>
      <diagonal/>
    </border>
    <border diagonalUp="false" diagonalDown="false">
      <left style="medium"/>
      <right/>
      <top style="thin"/>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thin"/>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65" fontId="4" fillId="3"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center" vertical="bottom" textRotation="0" wrapText="false" indent="0" shrinkToFit="false"/>
      <protection locked="true" hidden="false"/>
    </xf>
    <xf numFmtId="164" fontId="6" fillId="5"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general" vertical="bottom" textRotation="0" wrapText="false" indent="0" shrinkToFit="false"/>
      <protection locked="true" hidden="false"/>
    </xf>
    <xf numFmtId="165" fontId="7" fillId="3" borderId="0" xfId="0" applyFont="true" applyBorder="true" applyAlignment="true" applyProtection="false">
      <alignment horizontal="left" vertical="center" textRotation="0" wrapText="false" indent="1"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5" fontId="9" fillId="5" borderId="2" xfId="0" applyFont="true" applyBorder="true" applyAlignment="true" applyProtection="false">
      <alignment horizontal="general" vertical="bottom" textRotation="0" wrapText="false" indent="0" shrinkToFit="false"/>
      <protection locked="true" hidden="false"/>
    </xf>
    <xf numFmtId="164" fontId="10" fillId="5"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6" fontId="0" fillId="0"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0" fillId="2" borderId="2" xfId="0" applyFont="true" applyBorder="true" applyAlignment="true" applyProtection="false">
      <alignment horizontal="general" vertical="bottom" textRotation="0" wrapText="false" indent="0" shrinkToFit="false"/>
      <protection locked="true" hidden="false"/>
    </xf>
    <xf numFmtId="165" fontId="4" fillId="3" borderId="0" xfId="0" applyFont="true" applyBorder="true" applyAlignment="true" applyProtection="false">
      <alignment horizontal="left" vertical="center" textRotation="0" wrapText="true" indent="1" shrinkToFit="false"/>
      <protection locked="true" hidden="false"/>
    </xf>
    <xf numFmtId="164" fontId="0" fillId="2" borderId="5" xfId="0" applyFont="false" applyBorder="true" applyAlignment="true" applyProtection="false">
      <alignment horizontal="center" vertical="bottom" textRotation="0" wrapText="false" indent="0" shrinkToFit="false"/>
      <protection locked="true" hidden="false"/>
    </xf>
    <xf numFmtId="165" fontId="9" fillId="5" borderId="6" xfId="0" applyFont="true" applyBorder="true" applyAlignment="true" applyProtection="false">
      <alignment horizontal="general" vertical="bottom" textRotation="0" wrapText="false" indent="0" shrinkToFit="false"/>
      <protection locked="true" hidden="false"/>
    </xf>
    <xf numFmtId="164" fontId="10" fillId="5" borderId="6" xfId="0" applyFont="true" applyBorder="true" applyAlignment="true" applyProtection="false">
      <alignment horizontal="center" vertical="bottom" textRotation="0" wrapText="false" indent="0" shrinkToFit="false"/>
      <protection locked="true" hidden="false"/>
    </xf>
    <xf numFmtId="164" fontId="10" fillId="0" borderId="7" xfId="0" applyFont="true" applyBorder="true" applyAlignment="true" applyProtection="false">
      <alignment horizontal="center" vertical="bottom" textRotation="0" wrapText="false" indent="0" shrinkToFit="false"/>
      <protection locked="true" hidden="false"/>
    </xf>
    <xf numFmtId="165" fontId="0" fillId="0" borderId="2" xfId="0" applyFont="false" applyBorder="true" applyAlignment="true" applyProtection="false">
      <alignment horizontal="general" vertical="bottom" textRotation="0" wrapText="false" indent="0" shrinkToFit="false"/>
      <protection locked="true" hidden="false"/>
    </xf>
    <xf numFmtId="165" fontId="0" fillId="0" borderId="6" xfId="0" applyFont="false" applyBorder="true" applyAlignment="true" applyProtection="false">
      <alignment horizontal="general" vertical="bottom" textRotation="0" wrapText="false" indent="0" shrinkToFit="false"/>
      <protection locked="true" hidden="false"/>
    </xf>
    <xf numFmtId="165" fontId="0" fillId="0" borderId="6" xfId="0" applyFont="false" applyBorder="true" applyAlignment="true" applyProtection="false">
      <alignment horizontal="center" vertical="bottom" textRotation="0" wrapText="false" indent="0" shrinkToFit="false"/>
      <protection locked="true" hidden="false"/>
    </xf>
    <xf numFmtId="164" fontId="9" fillId="4" borderId="8" xfId="0" applyFont="true" applyBorder="true" applyAlignment="true" applyProtection="false">
      <alignment horizontal="general" vertical="bottom" textRotation="0" wrapText="false" indent="0" shrinkToFit="false"/>
      <protection locked="true" hidden="false"/>
    </xf>
    <xf numFmtId="165" fontId="9" fillId="4" borderId="8" xfId="0" applyFont="true" applyBorder="true" applyAlignment="true" applyProtection="false">
      <alignment horizontal="center" vertical="bottom" textRotation="0" wrapText="false" indent="0" shrinkToFit="false"/>
      <protection locked="true" hidden="false"/>
    </xf>
    <xf numFmtId="164" fontId="9" fillId="5" borderId="8" xfId="0" applyFont="true" applyBorder="true" applyAlignment="true" applyProtection="false">
      <alignment horizontal="center" vertical="center" textRotation="0" wrapText="true" indent="0" shrinkToFit="false"/>
      <protection locked="true" hidden="false"/>
    </xf>
    <xf numFmtId="165" fontId="9" fillId="5" borderId="8" xfId="0" applyFont="true" applyBorder="true" applyAlignment="true" applyProtection="false">
      <alignment horizontal="center" vertical="center" textRotation="0" wrapText="true" indent="0" shrinkToFit="false"/>
      <protection locked="true" hidden="false"/>
    </xf>
    <xf numFmtId="164" fontId="9" fillId="0" borderId="9"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4" fontId="0" fillId="0" borderId="11" xfId="0" applyFont="true" applyBorder="true" applyAlignment="tru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2" borderId="11" xfId="0" applyFont="true" applyBorder="true" applyAlignment="true" applyProtection="false">
      <alignment horizontal="center" vertical="bottom" textRotation="0" wrapText="true" indent="0" shrinkToFit="false"/>
      <protection locked="true" hidden="false"/>
    </xf>
    <xf numFmtId="165" fontId="7" fillId="3" borderId="7" xfId="0" applyFont="true" applyBorder="true" applyAlignment="true" applyProtection="false">
      <alignment horizontal="left" vertical="center" textRotation="0" wrapText="true" indent="1" shrinkToFit="false"/>
      <protection locked="true" hidden="false"/>
    </xf>
    <xf numFmtId="164" fontId="0" fillId="0" borderId="12" xfId="0" applyFont="fals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true" indent="0" shrinkToFit="false"/>
      <protection locked="true" hidden="false"/>
    </xf>
    <xf numFmtId="164" fontId="12" fillId="3" borderId="7"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0" fillId="0" borderId="7" xfId="0" applyFont="false" applyBorder="true" applyAlignment="true" applyProtection="false">
      <alignment horizontal="center"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6" fontId="0" fillId="0" borderId="2" xfId="0" applyFont="false" applyBorder="true" applyAlignment="tru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true" indent="0" shrinkToFit="false"/>
      <protection locked="true" hidden="false"/>
    </xf>
    <xf numFmtId="164" fontId="0" fillId="0" borderId="11" xfId="0" applyFont="false" applyBorder="true" applyAlignment="true" applyProtection="false">
      <alignment horizontal="general" vertical="bottom" textRotation="0" wrapText="false" indent="0" shrinkToFit="false"/>
      <protection locked="true" hidden="false"/>
    </xf>
    <xf numFmtId="166" fontId="0" fillId="0" borderId="11" xfId="0" applyFont="false" applyBorder="true" applyAlignment="tru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center" vertical="bottom" textRotation="0" wrapText="true" indent="0" shrinkToFit="false"/>
      <protection locked="true" hidden="false"/>
    </xf>
    <xf numFmtId="164" fontId="0" fillId="0" borderId="7" xfId="0" applyFont="false" applyBorder="true" applyAlignment="true" applyProtection="false">
      <alignment horizontal="general" vertical="bottom" textRotation="0" wrapText="false" indent="0" shrinkToFit="false"/>
      <protection locked="true" hidden="false"/>
    </xf>
    <xf numFmtId="164" fontId="0" fillId="0" borderId="13" xfId="0" applyFont="false" applyBorder="true" applyAlignment="tru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5" fontId="14" fillId="4" borderId="2" xfId="0" applyFont="true" applyBorder="true" applyAlignment="true" applyProtection="false">
      <alignment horizontal="center" vertical="center" textRotation="0" wrapText="false" indent="0" shrinkToFit="false"/>
      <protection locked="true" hidden="false"/>
    </xf>
    <xf numFmtId="165" fontId="15" fillId="0" borderId="2" xfId="0" applyFont="true" applyBorder="true" applyAlignment="true" applyProtection="false">
      <alignment horizontal="center" vertical="center" textRotation="0" wrapText="false" indent="0" shrinkToFit="false"/>
      <protection locked="true" hidden="false"/>
    </xf>
    <xf numFmtId="164" fontId="14" fillId="2" borderId="0" xfId="0" applyFont="true" applyBorder="false" applyAlignment="true" applyProtection="false">
      <alignment horizontal="center" vertical="center" textRotation="0" wrapText="false" indent="0" shrinkToFit="false"/>
      <protection locked="true" hidden="false"/>
    </xf>
    <xf numFmtId="164" fontId="15" fillId="2" borderId="0" xfId="0" applyFont="true" applyBorder="false" applyAlignment="true" applyProtection="false">
      <alignment horizontal="center" vertical="center" textRotation="0" wrapText="false" indent="0" shrinkToFit="false"/>
      <protection locked="true" hidden="false"/>
    </xf>
    <xf numFmtId="165" fontId="9" fillId="4" borderId="2" xfId="0" applyFont="true" applyBorder="true" applyAlignment="true" applyProtection="false">
      <alignment horizontal="center" vertical="bottom" textRotation="0" wrapText="false" indent="0" shrinkToFit="false"/>
      <protection locked="true" hidden="false"/>
    </xf>
    <xf numFmtId="164" fontId="9" fillId="2" borderId="0" xfId="0" applyFont="true" applyBorder="false" applyAlignment="true" applyProtection="false">
      <alignment horizontal="center" vertical="bottom" textRotation="0" wrapText="false" indent="0" shrinkToFit="false"/>
      <protection locked="true" hidden="false"/>
    </xf>
    <xf numFmtId="165" fontId="9" fillId="4" borderId="7" xfId="0" applyFont="true" applyBorder="true" applyAlignment="true" applyProtection="false">
      <alignment horizontal="center" vertical="bottom" textRotation="0" wrapText="false" indent="0" shrinkToFit="false"/>
      <protection locked="true" hidden="false"/>
    </xf>
    <xf numFmtId="165" fontId="11" fillId="5" borderId="2" xfId="0" applyFont="true" applyBorder="true" applyAlignment="true" applyProtection="true">
      <alignment horizontal="center" vertical="center" textRotation="0" wrapText="false" indent="0" shrinkToFit="false"/>
      <protection locked="true" hidden="true"/>
    </xf>
    <xf numFmtId="165" fontId="11" fillId="5" borderId="2" xfId="0" applyFont="true" applyBorder="true" applyAlignment="true" applyProtection="false">
      <alignment horizontal="center" vertical="bottom" textRotation="0" wrapText="false" indent="0" shrinkToFit="false"/>
      <protection locked="true" hidden="false"/>
    </xf>
    <xf numFmtId="164" fontId="11" fillId="2" borderId="0" xfId="0" applyFont="true" applyBorder="false" applyAlignment="true" applyProtection="false">
      <alignment horizontal="center" vertical="bottom" textRotation="0" wrapText="false" indent="0" shrinkToFit="false"/>
      <protection locked="true" hidden="false"/>
    </xf>
    <xf numFmtId="164" fontId="11" fillId="5" borderId="2" xfId="0" applyFont="true" applyBorder="true" applyAlignment="true" applyProtection="true">
      <alignment horizontal="center" vertical="center" textRotation="0" wrapText="false" indent="0" shrinkToFit="false"/>
      <protection locked="true" hidden="true"/>
    </xf>
    <xf numFmtId="164" fontId="11" fillId="5" borderId="2" xfId="0" applyFont="true" applyBorder="true" applyAlignment="true" applyProtection="true">
      <alignment horizontal="center" vertical="bottom" textRotation="0" wrapText="false" indent="0" shrinkToFit="false"/>
      <protection locked="true" hidden="true"/>
    </xf>
    <xf numFmtId="164" fontId="11" fillId="2" borderId="0" xfId="0" applyFont="true" applyBorder="false" applyAlignment="true" applyProtection="true">
      <alignment horizontal="center" vertical="bottom" textRotation="0" wrapText="false" indent="0" shrinkToFit="false"/>
      <protection locked="true" hidden="true"/>
    </xf>
    <xf numFmtId="164" fontId="0" fillId="0" borderId="2" xfId="0" applyFont="true" applyBorder="true" applyAlignment="true" applyProtection="true">
      <alignment horizontal="left" vertical="center" textRotation="0" wrapText="false" indent="0" shrinkToFit="false"/>
      <protection locked="true" hidden="true"/>
    </xf>
    <xf numFmtId="165" fontId="0" fillId="0" borderId="2" xfId="0" applyFont="false" applyBorder="true" applyAlignment="true" applyProtection="false">
      <alignment horizontal="center" vertical="top" textRotation="0" wrapText="true" indent="0" shrinkToFit="false"/>
      <protection locked="true" hidden="false"/>
    </xf>
    <xf numFmtId="164" fontId="0" fillId="2" borderId="0" xfId="0" applyFont="false" applyBorder="false" applyAlignment="true" applyProtection="false">
      <alignment horizontal="center" vertical="top" textRotation="0" wrapText="true" indent="0" shrinkToFit="false"/>
      <protection locked="true" hidden="false"/>
    </xf>
    <xf numFmtId="164" fontId="0" fillId="6" borderId="2" xfId="0" applyFont="false" applyBorder="true" applyAlignment="true" applyProtection="false">
      <alignment horizontal="center" vertical="top" textRotation="0" wrapText="tru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true"/>
    </xf>
    <xf numFmtId="164" fontId="10" fillId="6" borderId="2" xfId="0" applyFont="true" applyBorder="true" applyAlignment="true" applyProtection="false">
      <alignment horizontal="center" vertical="top" textRotation="0" wrapText="true" indent="0" shrinkToFit="false"/>
      <protection locked="true" hidden="false"/>
    </xf>
    <xf numFmtId="164" fontId="0" fillId="2" borderId="6" xfId="0" applyFont="true" applyBorder="true" applyAlignment="true" applyProtection="false">
      <alignment horizontal="general" vertical="bottom" textRotation="0" wrapText="false" indent="0" shrinkToFit="false"/>
      <protection locked="true" hidden="false"/>
    </xf>
    <xf numFmtId="164" fontId="0" fillId="6" borderId="6" xfId="0" applyFont="false" applyBorder="true" applyAlignment="true" applyProtection="false">
      <alignment horizontal="center" vertical="top" textRotation="0" wrapText="true" indent="0" shrinkToFit="false"/>
      <protection locked="true" hidden="false"/>
    </xf>
    <xf numFmtId="165" fontId="0" fillId="0" borderId="6" xfId="0" applyFont="false" applyBorder="true" applyAlignment="true" applyProtection="false">
      <alignment horizontal="center" vertical="top" textRotation="0" wrapText="true" indent="0" shrinkToFit="false"/>
      <protection locked="true" hidden="false"/>
    </xf>
    <xf numFmtId="165" fontId="0" fillId="0" borderId="2" xfId="0" applyFont="false" applyBorder="tru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5" fontId="11" fillId="0" borderId="2" xfId="0" applyFont="true" applyBorder="true" applyAlignment="true" applyProtection="false">
      <alignment horizontal="general" vertical="bottom" textRotation="0" wrapText="false" indent="0" shrinkToFit="false"/>
      <protection locked="true" hidden="false"/>
    </xf>
    <xf numFmtId="165" fontId="11" fillId="5" borderId="2" xfId="0" applyFont="true" applyBorder="true" applyAlignment="true" applyProtection="true">
      <alignment horizontal="general" vertical="bottom" textRotation="0" wrapText="false" indent="0" shrinkToFit="false"/>
      <protection locked="true" hidden="true"/>
    </xf>
    <xf numFmtId="164" fontId="11" fillId="0" borderId="0" xfId="0" applyFont="true" applyBorder="false" applyAlignment="true" applyProtection="true">
      <alignment horizontal="general" vertical="bottom" textRotation="0" wrapText="false" indent="0" shrinkToFit="false"/>
      <protection locked="true" hidden="true"/>
    </xf>
    <xf numFmtId="164" fontId="11" fillId="0" borderId="0" xfId="0" applyFont="true" applyBorder="false" applyAlignment="true" applyProtection="false">
      <alignment horizontal="center" vertical="bottom" textRotation="0" wrapText="false" indent="0" shrinkToFit="false"/>
      <protection locked="true" hidden="false"/>
    </xf>
    <xf numFmtId="165" fontId="11" fillId="5" borderId="14" xfId="0" applyFont="true" applyBorder="true" applyAlignment="true" applyProtection="true">
      <alignment horizontal="center" vertical="center" textRotation="0" wrapText="false" indent="0" shrinkToFit="false"/>
      <protection locked="true" hidden="true"/>
    </xf>
    <xf numFmtId="164" fontId="11" fillId="5" borderId="11" xfId="0" applyFont="true" applyBorder="true" applyAlignment="true" applyProtection="true">
      <alignment horizontal="center" vertical="bottom" textRotation="0" wrapText="false" indent="0" shrinkToFit="false"/>
      <protection locked="true" hidden="true"/>
    </xf>
    <xf numFmtId="165" fontId="0" fillId="2" borderId="2" xfId="0" applyFont="false" applyBorder="true" applyAlignment="true" applyProtection="false">
      <alignment horizontal="center" vertical="bottom" textRotation="0" wrapText="false" indent="0" shrinkToFit="false"/>
      <protection locked="true" hidden="false"/>
    </xf>
    <xf numFmtId="165" fontId="11" fillId="5" borderId="15" xfId="0" applyFont="true" applyBorder="true" applyAlignment="true" applyProtection="true">
      <alignment horizontal="general" vertical="bottom" textRotation="0" wrapText="false" indent="0" shrinkToFit="false"/>
      <protection locked="true" hidden="true"/>
    </xf>
    <xf numFmtId="164" fontId="11" fillId="2" borderId="0" xfId="0" applyFont="true" applyBorder="false" applyAlignment="true" applyProtection="false">
      <alignment horizontal="general" vertical="bottom" textRotation="0" wrapText="false" indent="0" shrinkToFit="false"/>
      <protection locked="true" hidden="false"/>
    </xf>
    <xf numFmtId="164" fontId="9" fillId="4" borderId="2"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true"/>
    </xf>
    <xf numFmtId="165" fontId="11" fillId="5" borderId="11" xfId="0" applyFont="true" applyBorder="true" applyAlignment="true" applyProtection="false">
      <alignment horizontal="center" vertical="bottom" textRotation="0" wrapText="false" indent="0" shrinkToFit="false"/>
      <protection locked="true" hidden="false"/>
    </xf>
    <xf numFmtId="165" fontId="11" fillId="0" borderId="2" xfId="0" applyFont="true" applyBorder="true" applyAlignment="true" applyProtection="false">
      <alignment horizontal="center" vertical="bottom" textRotation="0" wrapText="false" indent="0" shrinkToFit="false"/>
      <protection locked="true" hidden="false"/>
    </xf>
    <xf numFmtId="165" fontId="11" fillId="0" borderId="6" xfId="0" applyFont="true" applyBorder="true" applyAlignment="true" applyProtection="false">
      <alignment horizontal="center" vertical="bottom" textRotation="0" wrapText="false" indent="0" shrinkToFit="false"/>
      <protection locked="true" hidden="false"/>
    </xf>
    <xf numFmtId="164" fontId="11" fillId="6" borderId="6" xfId="0" applyFont="true" applyBorder="true" applyAlignment="true" applyProtection="false">
      <alignment horizontal="center" vertical="bottom" textRotation="0" wrapText="false" indent="0" shrinkToFit="false"/>
      <protection locked="true" hidden="false"/>
    </xf>
    <xf numFmtId="164" fontId="0" fillId="6" borderId="15" xfId="0" applyFont="false" applyBorder="true" applyAlignment="true" applyProtection="false">
      <alignment horizontal="center" vertical="top" textRotation="0" wrapText="true" indent="0" shrinkToFit="false"/>
      <protection locked="true" hidden="false"/>
    </xf>
    <xf numFmtId="164" fontId="0" fillId="6" borderId="4" xfId="0" applyFont="false" applyBorder="true" applyAlignment="true" applyProtection="false">
      <alignment horizontal="center" vertical="top" textRotation="0" wrapText="true" indent="0" shrinkToFit="false"/>
      <protection locked="true" hidden="false"/>
    </xf>
    <xf numFmtId="164" fontId="0" fillId="6" borderId="16" xfId="0" applyFont="false" applyBorder="true" applyAlignment="true" applyProtection="false">
      <alignment horizontal="center" vertical="top" textRotation="0" wrapText="true" indent="0" shrinkToFit="false"/>
      <protection locked="true" hidden="false"/>
    </xf>
    <xf numFmtId="165" fontId="11" fillId="7" borderId="15" xfId="0" applyFont="true" applyBorder="true" applyAlignment="true" applyProtection="true">
      <alignment horizontal="general" vertical="bottom" textRotation="0" wrapText="false" indent="0" shrinkToFit="false"/>
      <protection locked="true" hidden="true"/>
    </xf>
    <xf numFmtId="165" fontId="11" fillId="7" borderId="2" xfId="0" applyFont="true" applyBorder="true" applyAlignment="true" applyProtection="false">
      <alignment horizontal="center" vertical="bottom" textRotation="0" wrapText="false" indent="0" shrinkToFit="false"/>
      <protection locked="true" hidden="false"/>
    </xf>
    <xf numFmtId="164" fontId="11" fillId="2" borderId="0" xfId="0" applyFont="true" applyBorder="false" applyAlignment="true" applyProtection="true">
      <alignment horizontal="general" vertical="bottom" textRotation="0" wrapText="false" indent="0" shrinkToFit="false"/>
      <protection locked="true" hidden="true"/>
    </xf>
    <xf numFmtId="164" fontId="0" fillId="0" borderId="5"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Arial"/>
        <charset val="1"/>
        <family val="2"/>
        <color rgb="FF800080"/>
      </font>
      <fill>
        <patternFill>
          <bgColor rgb="FFFF99CC"/>
        </patternFill>
      </fill>
    </dxf>
    <dxf>
      <font>
        <name val="Arial"/>
        <charset val="1"/>
        <family val="2"/>
      </font>
      <fill>
        <patternFill>
          <bgColor rgb="FFFFFF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EE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99"/>
    <pageSetUpPr fitToPage="true"/>
  </sheetPr>
  <dimension ref="A1:BA350"/>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G42" activeCellId="0" sqref="G42"/>
    </sheetView>
  </sheetViews>
  <sheetFormatPr defaultColWidth="9.18359375" defaultRowHeight="12.75" zeroHeight="false" outlineLevelRow="0" outlineLevelCol="0"/>
  <cols>
    <col collapsed="false" customWidth="true" hidden="false" outlineLevel="0" max="1" min="1" style="1" width="3.98"/>
    <col collapsed="false" customWidth="true" hidden="false" outlineLevel="0" max="2" min="2" style="1" width="38.52"/>
    <col collapsed="false" customWidth="true" hidden="false" outlineLevel="0" max="3" min="3" style="1" width="10.98"/>
    <col collapsed="false" customWidth="true" hidden="false" outlineLevel="0" max="4" min="4" style="1" width="12.27"/>
    <col collapsed="false" customWidth="true" hidden="false" outlineLevel="0" max="5" min="5" style="1" width="29.83"/>
    <col collapsed="false" customWidth="true" hidden="false" outlineLevel="0" max="6" min="6" style="1" width="12.56"/>
    <col collapsed="false" customWidth="true" hidden="false" outlineLevel="0" max="7" min="7" style="1" width="25.11"/>
    <col collapsed="false" customWidth="true" hidden="false" outlineLevel="0" max="8" min="8" style="1" width="22.55"/>
    <col collapsed="false" customWidth="true" hidden="false" outlineLevel="0" max="9" min="9" style="1" width="17.54"/>
    <col collapsed="false" customWidth="true" hidden="false" outlineLevel="0" max="10" min="10" style="1" width="29.53"/>
    <col collapsed="false" customWidth="true" hidden="false" outlineLevel="0" max="11" min="11" style="1" width="3.13"/>
    <col collapsed="false" customWidth="true" hidden="false" outlineLevel="0" max="12" min="12" style="1" width="23.95"/>
    <col collapsed="false" customWidth="true" hidden="false" outlineLevel="0" max="13" min="13" style="1" width="3.3"/>
    <col collapsed="false" customWidth="true" hidden="false" outlineLevel="0" max="14" min="14" style="1" width="2.28"/>
    <col collapsed="false" customWidth="true" hidden="false" outlineLevel="0" max="15" min="15" style="1" width="2.57"/>
    <col collapsed="false" customWidth="true" hidden="false" outlineLevel="0" max="16" min="16" style="1" width="1.99"/>
    <col collapsed="false" customWidth="true" hidden="false" outlineLevel="0" max="17" min="17" style="1" width="2.99"/>
    <col collapsed="false" customWidth="true" hidden="false" outlineLevel="0" max="18" min="18" style="1" width="3.98"/>
  </cols>
  <sheetData>
    <row r="1" customFormat="false" ht="18.75" hidden="false" customHeight="true" outlineLevel="0" collapsed="false">
      <c r="A1" s="2"/>
      <c r="B1" s="2"/>
      <c r="C1" s="2"/>
      <c r="D1" s="2"/>
      <c r="E1" s="2"/>
      <c r="F1" s="2"/>
      <c r="G1" s="2"/>
      <c r="H1" s="2"/>
      <c r="I1" s="3" t="str">
        <f aca="false">IF('My order'!H2="English","HOW TO USE THIS SHEET","MODE D'EMPLOI")</f>
        <v>HOW TO USE THIS SHEET</v>
      </c>
      <c r="J1" s="3"/>
      <c r="K1" s="3"/>
      <c r="L1" s="4"/>
    </row>
    <row r="2" customFormat="false" ht="12.75" hidden="false" customHeight="true" outlineLevel="0" collapsed="false">
      <c r="A2" s="2"/>
      <c r="B2" s="5"/>
      <c r="C2" s="5"/>
      <c r="D2" s="5"/>
      <c r="E2" s="5"/>
      <c r="F2" s="5"/>
      <c r="G2" s="5"/>
      <c r="H2" s="6" t="s">
        <v>0</v>
      </c>
      <c r="I2" s="7"/>
      <c r="J2" s="7"/>
      <c r="K2" s="7"/>
    </row>
    <row r="3" customFormat="false" ht="12.75" hidden="false" customHeight="true" outlineLevel="0" collapsed="false">
      <c r="A3" s="2"/>
      <c r="B3" s="2"/>
      <c r="C3" s="5"/>
      <c r="D3" s="5"/>
      <c r="E3" s="5"/>
      <c r="F3" s="5"/>
      <c r="G3" s="5"/>
      <c r="H3" s="6"/>
      <c r="I3" s="7"/>
      <c r="J3" s="7"/>
      <c r="K3" s="7"/>
    </row>
    <row r="4" customFormat="false" ht="12.75" hidden="false" customHeight="true" outlineLevel="0" collapsed="false">
      <c r="A4" s="2"/>
      <c r="B4" s="2"/>
      <c r="C4" s="5"/>
      <c r="D4" s="5"/>
      <c r="E4" s="5"/>
      <c r="F4" s="5"/>
      <c r="G4" s="5"/>
      <c r="H4" s="6"/>
      <c r="I4" s="8" t="str">
        <f aca="false">IF('My order'!H2="English","1/ Choisissez le langage en cliquant sur 'English'","1/ Chose the language by clicking on 'Français'")</f>
        <v>1/ Choisissez le langage en cliquant sur 'English'</v>
      </c>
      <c r="J4" s="8"/>
      <c r="K4" s="8"/>
    </row>
    <row r="5" customFormat="false" ht="15" hidden="false" customHeight="true" outlineLevel="0" collapsed="false">
      <c r="A5" s="2"/>
      <c r="B5" s="2"/>
      <c r="C5" s="5"/>
      <c r="D5" s="5"/>
      <c r="E5" s="5"/>
      <c r="F5" s="5"/>
      <c r="G5" s="5"/>
      <c r="H5" s="6"/>
      <c r="I5" s="8"/>
      <c r="J5" s="8"/>
      <c r="K5" s="8"/>
      <c r="R5" s="9"/>
    </row>
    <row r="6" customFormat="false" ht="12.75" hidden="false" customHeight="true" outlineLevel="0" collapsed="false">
      <c r="A6" s="2"/>
      <c r="B6" s="10"/>
      <c r="C6" s="10"/>
      <c r="D6" s="10"/>
      <c r="E6" s="10"/>
      <c r="F6" s="10"/>
      <c r="G6" s="10"/>
      <c r="H6" s="10"/>
      <c r="I6" s="2"/>
      <c r="J6" s="2"/>
      <c r="K6" s="2"/>
    </row>
    <row r="7" customFormat="false" ht="12.75" hidden="false" customHeight="true" outlineLevel="0" collapsed="false">
      <c r="A7" s="2"/>
      <c r="B7" s="10"/>
      <c r="C7" s="10"/>
      <c r="D7" s="10"/>
      <c r="E7" s="10"/>
      <c r="F7" s="10"/>
      <c r="G7" s="10"/>
      <c r="H7" s="10"/>
      <c r="I7" s="2"/>
      <c r="J7" s="2"/>
      <c r="K7" s="2"/>
    </row>
    <row r="8" customFormat="false" ht="12.75" hidden="false" customHeight="true" outlineLevel="0" collapsed="false">
      <c r="A8" s="2"/>
      <c r="B8" s="11" t="str">
        <f aca="false">IF('My order'!H2="English","Contact Info","Info du Contact")</f>
        <v>Contact Info</v>
      </c>
      <c r="C8" s="12"/>
      <c r="D8" s="12"/>
      <c r="E8" s="12"/>
      <c r="F8" s="12"/>
      <c r="G8" s="12"/>
      <c r="H8" s="12"/>
      <c r="I8" s="2"/>
      <c r="J8" s="2"/>
      <c r="K8" s="2"/>
    </row>
    <row r="9" customFormat="false" ht="12.75" hidden="false" customHeight="true" outlineLevel="0" collapsed="false">
      <c r="A9" s="2"/>
      <c r="B9" s="13" t="s">
        <v>1</v>
      </c>
      <c r="C9" s="14" t="s">
        <v>2</v>
      </c>
      <c r="D9" s="14"/>
      <c r="E9" s="14"/>
      <c r="F9" s="13" t="s">
        <v>3</v>
      </c>
      <c r="G9" s="14" t="s">
        <v>4</v>
      </c>
      <c r="H9" s="14"/>
      <c r="I9" s="8" t="str">
        <f aca="false">IF('My order'!H2="English","2/ Type in your details","2/ Remplissez vos infos de contact")</f>
        <v>2/ Type in your details</v>
      </c>
      <c r="J9" s="8"/>
      <c r="K9" s="8"/>
    </row>
    <row r="10" customFormat="false" ht="12.75" hidden="false" customHeight="true" outlineLevel="0" collapsed="false">
      <c r="A10" s="2"/>
      <c r="B10" s="13" t="s">
        <v>5</v>
      </c>
      <c r="C10" s="14" t="s">
        <v>6</v>
      </c>
      <c r="D10" s="14"/>
      <c r="E10" s="14"/>
      <c r="F10" s="15" t="s">
        <v>7</v>
      </c>
      <c r="G10" s="14" t="n">
        <v>38116</v>
      </c>
      <c r="H10" s="14"/>
      <c r="I10" s="8"/>
      <c r="J10" s="8"/>
      <c r="K10" s="8"/>
    </row>
    <row r="11" customFormat="false" ht="12.75" hidden="false" customHeight="true" outlineLevel="0" collapsed="false">
      <c r="A11" s="2"/>
      <c r="B11" s="13" t="s">
        <v>8</v>
      </c>
      <c r="C11" s="14" t="s">
        <v>9</v>
      </c>
      <c r="D11" s="14"/>
      <c r="E11" s="14"/>
      <c r="F11" s="15" t="s">
        <v>10</v>
      </c>
      <c r="G11" s="14" t="s">
        <v>11</v>
      </c>
      <c r="H11" s="14"/>
      <c r="I11" s="8"/>
      <c r="J11" s="8"/>
      <c r="K11" s="8"/>
    </row>
    <row r="12" customFormat="false" ht="12.75" hidden="false" customHeight="true" outlineLevel="0" collapsed="false">
      <c r="A12" s="2"/>
      <c r="B12" s="13" t="s">
        <v>12</v>
      </c>
      <c r="C12" s="16" t="s">
        <v>13</v>
      </c>
      <c r="D12" s="16"/>
      <c r="E12" s="16"/>
      <c r="F12" s="15" t="s">
        <v>14</v>
      </c>
      <c r="G12" s="14" t="s">
        <v>15</v>
      </c>
      <c r="H12" s="14"/>
      <c r="I12" s="8"/>
      <c r="J12" s="8"/>
      <c r="K12" s="8"/>
    </row>
    <row r="13" customFormat="false" ht="12.75" hidden="false" customHeight="true" outlineLevel="0" collapsed="false">
      <c r="A13" s="2"/>
      <c r="B13" s="13" t="s">
        <v>16</v>
      </c>
      <c r="C13" s="17" t="s">
        <v>17</v>
      </c>
      <c r="D13" s="17"/>
      <c r="E13" s="17"/>
      <c r="F13" s="18" t="s">
        <v>18</v>
      </c>
      <c r="G13" s="19" t="s">
        <v>17</v>
      </c>
      <c r="H13" s="19"/>
      <c r="I13" s="8"/>
      <c r="J13" s="8"/>
      <c r="K13" s="8"/>
    </row>
    <row r="14" customFormat="false" ht="12.75" hidden="false" customHeight="true" outlineLevel="0" collapsed="false">
      <c r="A14" s="2"/>
      <c r="B14" s="20"/>
      <c r="C14" s="20"/>
      <c r="D14" s="20"/>
      <c r="E14" s="20"/>
      <c r="F14" s="20"/>
      <c r="G14" s="20"/>
      <c r="H14" s="20"/>
      <c r="I14" s="8"/>
      <c r="J14" s="8"/>
      <c r="K14" s="8"/>
    </row>
    <row r="15" customFormat="false" ht="12.75" hidden="false" customHeight="true" outlineLevel="0" collapsed="false">
      <c r="A15" s="2"/>
      <c r="B15" s="11" t="str">
        <f aca="false">IF(H2="English","Shipping Information (if different address)","Informations d'envoi (si adresse différente)")</f>
        <v>Shipping Information (if different address)</v>
      </c>
      <c r="C15" s="12"/>
      <c r="D15" s="12"/>
      <c r="E15" s="12"/>
      <c r="F15" s="12"/>
      <c r="G15" s="12"/>
      <c r="H15" s="12"/>
      <c r="I15" s="21"/>
      <c r="J15" s="21"/>
      <c r="K15" s="21"/>
    </row>
    <row r="16" customFormat="false" ht="12.75" hidden="false" customHeight="true" outlineLevel="0" collapsed="false">
      <c r="A16" s="2"/>
      <c r="B16" s="22" t="s">
        <v>1</v>
      </c>
      <c r="C16" s="14" t="s">
        <v>19</v>
      </c>
      <c r="D16" s="14"/>
      <c r="E16" s="14"/>
      <c r="F16" s="15" t="s">
        <v>3</v>
      </c>
      <c r="G16" s="14" t="s">
        <v>20</v>
      </c>
      <c r="H16" s="14"/>
      <c r="I16" s="21"/>
      <c r="J16" s="21"/>
      <c r="K16" s="21"/>
    </row>
    <row r="17" customFormat="false" ht="12.75" hidden="false" customHeight="true" outlineLevel="0" collapsed="false">
      <c r="A17" s="2"/>
      <c r="B17" s="22" t="s">
        <v>5</v>
      </c>
      <c r="C17" s="14" t="s">
        <v>21</v>
      </c>
      <c r="D17" s="14"/>
      <c r="E17" s="14"/>
      <c r="F17" s="15" t="s">
        <v>7</v>
      </c>
      <c r="G17" s="14" t="n">
        <v>38118</v>
      </c>
      <c r="H17" s="14"/>
      <c r="I17" s="21"/>
      <c r="J17" s="21"/>
      <c r="K17" s="21"/>
    </row>
    <row r="18" customFormat="false" ht="12.75" hidden="false" customHeight="true" outlineLevel="0" collapsed="false">
      <c r="A18" s="2"/>
      <c r="B18" s="22" t="s">
        <v>18</v>
      </c>
      <c r="C18" s="17" t="s">
        <v>22</v>
      </c>
      <c r="D18" s="17"/>
      <c r="E18" s="17"/>
      <c r="F18" s="15" t="s">
        <v>10</v>
      </c>
      <c r="G18" s="14" t="s">
        <v>11</v>
      </c>
      <c r="H18" s="14"/>
      <c r="I18" s="23" t="str">
        <f aca="false">IF('My order'!H2="English","⚠ Please fill in and check this form carefully. Your order and personalised data will be printed exactly as entered here. No exchanges or returns will be accepted for any input errors","⚠ Merci de remplir et vérifier ce formulaire avec précaution. Votre commande sera imprimée scrupuleusement selon les détails fournis. Aucun échange ou retour ne sera accepté pour des erreurs de saisies")</f>
        <v>⚠ Please fill in and check this form carefully. Your order and personalised data will be printed exactly as entered here. No exchanges or returns will be accepted for any input errors</v>
      </c>
      <c r="J18" s="23"/>
      <c r="K18" s="23"/>
    </row>
    <row r="19" customFormat="false" ht="12.75" hidden="false" customHeight="true" outlineLevel="0" collapsed="false">
      <c r="A19" s="2"/>
      <c r="B19" s="24"/>
      <c r="C19" s="24"/>
      <c r="D19" s="24"/>
      <c r="E19" s="24"/>
      <c r="F19" s="24"/>
      <c r="G19" s="24"/>
      <c r="H19" s="24"/>
      <c r="I19" s="23"/>
      <c r="J19" s="23"/>
      <c r="K19" s="23"/>
    </row>
    <row r="20" customFormat="false" ht="12.75" hidden="false" customHeight="true" outlineLevel="0" collapsed="false">
      <c r="A20" s="2"/>
      <c r="B20" s="2"/>
      <c r="C20" s="24"/>
      <c r="D20" s="24"/>
      <c r="E20" s="24"/>
      <c r="F20" s="24"/>
      <c r="G20" s="24"/>
      <c r="H20" s="24"/>
      <c r="I20" s="23"/>
      <c r="J20" s="23"/>
      <c r="K20" s="23"/>
    </row>
    <row r="21" customFormat="false" ht="12.75" hidden="false" customHeight="true" outlineLevel="0" collapsed="false">
      <c r="A21" s="2"/>
      <c r="B21" s="25" t="str">
        <f aca="false">IF(H2="English","Order Summary","Récap de la Commande")</f>
        <v>Order Summary</v>
      </c>
      <c r="C21" s="26"/>
      <c r="D21" s="26"/>
      <c r="E21" s="26"/>
      <c r="F21" s="27"/>
      <c r="G21" s="27"/>
      <c r="H21" s="27"/>
      <c r="I21" s="23"/>
      <c r="J21" s="23"/>
      <c r="K21" s="23"/>
    </row>
    <row r="22" customFormat="false" ht="12.75" hidden="false" customHeight="true" outlineLevel="0" collapsed="false">
      <c r="A22" s="2"/>
      <c r="B22" s="28" t="str">
        <f aca="false">IF(H2="English","Number of tops","Nombre de hauts")</f>
        <v>Number of tops</v>
      </c>
      <c r="C22" s="14" t="n">
        <f aca="false">Summary!C37+Summary!L37+Summary!T37</f>
        <v>19</v>
      </c>
      <c r="D22" s="14"/>
      <c r="E22" s="14"/>
      <c r="F22" s="27"/>
      <c r="G22" s="27"/>
      <c r="H22" s="27"/>
      <c r="I22" s="23"/>
      <c r="J22" s="23"/>
      <c r="K22" s="23"/>
    </row>
    <row r="23" customFormat="false" ht="12.75" hidden="false" customHeight="true" outlineLevel="0" collapsed="false">
      <c r="A23" s="2"/>
      <c r="B23" s="28" t="str">
        <f aca="false">IF(H2="English","Number of bottoms","Nombre de bas")</f>
        <v>Number of bottoms</v>
      </c>
      <c r="C23" s="14" t="n">
        <f aca="false">Summary!C48+Summary!L48</f>
        <v>0</v>
      </c>
      <c r="D23" s="14"/>
      <c r="E23" s="14"/>
      <c r="F23" s="27"/>
      <c r="G23" s="27"/>
      <c r="H23" s="27"/>
      <c r="I23" s="23"/>
      <c r="J23" s="23"/>
      <c r="K23" s="23"/>
    </row>
    <row r="24" customFormat="false" ht="12.75" hidden="false" customHeight="true" outlineLevel="0" collapsed="false">
      <c r="A24" s="2"/>
      <c r="B24" s="28" t="str">
        <f aca="false">IF(H2="English","Number of shorts","Nombre de shorts")</f>
        <v>Number of shorts</v>
      </c>
      <c r="C24" s="14" t="n">
        <f aca="false">Summary!C60</f>
        <v>6</v>
      </c>
      <c r="D24" s="14"/>
      <c r="E24" s="14"/>
      <c r="F24" s="27"/>
      <c r="G24" s="27"/>
      <c r="H24" s="27"/>
      <c r="I24" s="23"/>
      <c r="J24" s="23"/>
      <c r="K24" s="23"/>
    </row>
    <row r="25" customFormat="false" ht="12.75" hidden="false" customHeight="true" outlineLevel="0" collapsed="false">
      <c r="A25" s="2"/>
      <c r="B25" s="29" t="str">
        <f aca="false">IF(H2="English","Number of accessories &amp; flags","Nombre d'accessoires &amp; drapeaux")</f>
        <v>Number of accessories &amp; flags</v>
      </c>
      <c r="C25" s="30" t="n">
        <f aca="false">Summary!T60+Summary!X50</f>
        <v>0</v>
      </c>
      <c r="D25" s="30"/>
      <c r="E25" s="30"/>
      <c r="F25" s="27"/>
      <c r="G25" s="27"/>
      <c r="H25" s="27"/>
      <c r="I25" s="23"/>
      <c r="J25" s="23"/>
      <c r="K25" s="23"/>
    </row>
    <row r="26" customFormat="false" ht="12.75" hidden="false" customHeight="true" outlineLevel="0" collapsed="false">
      <c r="A26" s="2"/>
      <c r="B26" s="31" t="s">
        <v>23</v>
      </c>
      <c r="C26" s="32" t="n">
        <f aca="false">SUM(C22:C25)</f>
        <v>25</v>
      </c>
      <c r="D26" s="32"/>
      <c r="E26" s="32"/>
      <c r="F26" s="27"/>
      <c r="G26" s="27"/>
      <c r="H26" s="27"/>
      <c r="I26" s="23"/>
      <c r="J26" s="23"/>
      <c r="K26" s="23"/>
    </row>
    <row r="27" customFormat="false" ht="12.75" hidden="false" customHeight="true" outlineLevel="0" collapsed="false">
      <c r="A27" s="2"/>
      <c r="B27" s="2"/>
      <c r="C27" s="2"/>
      <c r="D27" s="2"/>
      <c r="E27" s="2"/>
      <c r="F27" s="2"/>
      <c r="G27" s="2"/>
      <c r="H27" s="2"/>
      <c r="I27" s="23"/>
      <c r="J27" s="23"/>
      <c r="K27" s="23"/>
    </row>
    <row r="28" customFormat="false" ht="12.75" hidden="false" customHeight="true" outlineLevel="0" collapsed="false">
      <c r="A28" s="2"/>
      <c r="B28" s="2"/>
      <c r="C28" s="2"/>
      <c r="D28" s="2"/>
      <c r="E28" s="2"/>
      <c r="F28" s="2"/>
      <c r="G28" s="2"/>
      <c r="H28" s="2"/>
      <c r="I28" s="23"/>
      <c r="J28" s="23"/>
      <c r="K28" s="23"/>
    </row>
    <row r="29" s="36" customFormat="true" ht="40.5" hidden="false" customHeight="true" outlineLevel="0" collapsed="false">
      <c r="A29" s="33" t="s">
        <v>24</v>
      </c>
      <c r="B29" s="33" t="str">
        <f aca="false">IF(H2="English","Product","Produit")</f>
        <v>Product</v>
      </c>
      <c r="C29" s="33" t="str">
        <f aca="false">IF(H2="English","Gender / Type","Sexe / Type")</f>
        <v>Gender / Type</v>
      </c>
      <c r="D29" s="33" t="str">
        <f aca="false">IF(H2="English","Size","Taille")</f>
        <v>Size</v>
      </c>
      <c r="E29" s="33" t="str">
        <f aca="false">IF(H2="English","Name to be printed","Nom à imprimer")</f>
        <v>Name to be printed</v>
      </c>
      <c r="F29" s="33" t="str">
        <f aca="false">IF(H2="English","Number to be printed","Numéro à imprimer")</f>
        <v>Number to be printed</v>
      </c>
      <c r="G29" s="34" t="str">
        <f aca="false">IF(H2="English","Special Requests","Demandes particulières")</f>
        <v>Special Requests</v>
      </c>
      <c r="H29" s="34"/>
      <c r="I29" s="35"/>
      <c r="J29" s="35"/>
      <c r="K29" s="35"/>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row>
    <row r="30" s="1" customFormat="true" ht="12" hidden="false" customHeight="true" outlineLevel="0" collapsed="false">
      <c r="A30" s="37" t="n">
        <v>1</v>
      </c>
      <c r="B30" s="38" t="s">
        <v>25</v>
      </c>
      <c r="C30" s="38" t="s">
        <v>26</v>
      </c>
      <c r="D30" s="39" t="s">
        <v>27</v>
      </c>
      <c r="E30" s="40" t="s">
        <v>28</v>
      </c>
      <c r="F30" s="41" t="n">
        <v>43</v>
      </c>
      <c r="G30" s="42" t="s">
        <v>29</v>
      </c>
      <c r="H30" s="42"/>
      <c r="I30" s="43" t="str">
        <f aca="false">IF('My order'!H2="English","3/ Use the dropdown lists for the 3 first columns (Product, Gender, Size).  Click on the cell and a list will pop-up. Start from the 'Product' column and the other lists will automatically adapt ","3/ Utilisez les listes des 3 premières colonnes (Produit, Sexe, Taille). Cliquez sur la cellule et une liste apparait. Commencez par la colonne 'Produit', les autres listes s'adaptent automatiquement")</f>
        <v>3/ Use the dropdown lists for the 3 first columns (Product, Gender, Size).  Click on the cell and a list will pop-up. Start from the 'Product' column and the other lists will automatically adapt </v>
      </c>
      <c r="J30" s="43"/>
      <c r="K30" s="43"/>
    </row>
    <row r="31" s="1" customFormat="true" ht="12" hidden="false" customHeight="true" outlineLevel="0" collapsed="false">
      <c r="A31" s="44" t="n">
        <v>2</v>
      </c>
      <c r="B31" s="38" t="s">
        <v>25</v>
      </c>
      <c r="C31" s="38" t="s">
        <v>26</v>
      </c>
      <c r="D31" s="45" t="s">
        <v>27</v>
      </c>
      <c r="E31" s="40" t="s">
        <v>28</v>
      </c>
      <c r="F31" s="41" t="n">
        <v>43</v>
      </c>
      <c r="G31" s="46" t="s">
        <v>30</v>
      </c>
      <c r="H31" s="46"/>
      <c r="I31" s="43"/>
      <c r="J31" s="43"/>
      <c r="K31" s="43"/>
    </row>
    <row r="32" s="1" customFormat="true" ht="12" hidden="false" customHeight="true" outlineLevel="0" collapsed="false">
      <c r="A32" s="44" t="n">
        <v>3</v>
      </c>
      <c r="B32" s="38" t="s">
        <v>31</v>
      </c>
      <c r="C32" s="38" t="s">
        <v>32</v>
      </c>
      <c r="D32" s="45" t="s">
        <v>33</v>
      </c>
      <c r="E32" s="40" t="s">
        <v>28</v>
      </c>
      <c r="F32" s="41" t="n">
        <v>43</v>
      </c>
      <c r="G32" s="46"/>
      <c r="H32" s="46"/>
      <c r="I32" s="43"/>
      <c r="J32" s="43"/>
      <c r="K32" s="43"/>
    </row>
    <row r="33" s="1" customFormat="true" ht="12" hidden="false" customHeight="true" outlineLevel="0" collapsed="false">
      <c r="A33" s="44" t="n">
        <v>4</v>
      </c>
      <c r="B33" s="38" t="s">
        <v>25</v>
      </c>
      <c r="C33" s="38" t="s">
        <v>26</v>
      </c>
      <c r="D33" s="45" t="s">
        <v>33</v>
      </c>
      <c r="E33" s="40" t="s">
        <v>34</v>
      </c>
      <c r="F33" s="41" t="n">
        <v>313</v>
      </c>
      <c r="G33" s="46" t="s">
        <v>29</v>
      </c>
      <c r="H33" s="46"/>
      <c r="I33" s="43"/>
      <c r="J33" s="43"/>
      <c r="K33" s="43"/>
    </row>
    <row r="34" s="1" customFormat="true" ht="12" hidden="false" customHeight="true" outlineLevel="0" collapsed="false">
      <c r="A34" s="44" t="n">
        <v>5</v>
      </c>
      <c r="B34" s="38" t="s">
        <v>25</v>
      </c>
      <c r="C34" s="38" t="s">
        <v>26</v>
      </c>
      <c r="D34" s="45" t="s">
        <v>33</v>
      </c>
      <c r="E34" s="40" t="s">
        <v>34</v>
      </c>
      <c r="F34" s="41" t="n">
        <v>313</v>
      </c>
      <c r="G34" s="46" t="s">
        <v>30</v>
      </c>
      <c r="H34" s="46"/>
      <c r="I34" s="43"/>
      <c r="J34" s="43"/>
      <c r="K34" s="43"/>
    </row>
    <row r="35" s="1" customFormat="true" ht="12" hidden="false" customHeight="true" outlineLevel="0" collapsed="false">
      <c r="A35" s="44" t="n">
        <v>6</v>
      </c>
      <c r="B35" s="38" t="s">
        <v>35</v>
      </c>
      <c r="C35" s="38" t="s">
        <v>26</v>
      </c>
      <c r="D35" s="45" t="s">
        <v>33</v>
      </c>
      <c r="E35" s="40" t="s">
        <v>34</v>
      </c>
      <c r="F35" s="41" t="n">
        <v>313</v>
      </c>
      <c r="G35" s="46" t="s">
        <v>36</v>
      </c>
      <c r="H35" s="46"/>
      <c r="I35" s="43"/>
      <c r="J35" s="43"/>
      <c r="K35" s="43"/>
    </row>
    <row r="36" s="1" customFormat="true" ht="12" hidden="false" customHeight="true" outlineLevel="0" collapsed="false">
      <c r="A36" s="44" t="n">
        <v>7</v>
      </c>
      <c r="B36" s="38" t="s">
        <v>31</v>
      </c>
      <c r="C36" s="38" t="s">
        <v>32</v>
      </c>
      <c r="D36" s="45" t="s">
        <v>27</v>
      </c>
      <c r="E36" s="40" t="s">
        <v>34</v>
      </c>
      <c r="F36" s="41" t="n">
        <v>313</v>
      </c>
      <c r="G36" s="46"/>
      <c r="H36" s="46"/>
      <c r="I36" s="43"/>
      <c r="J36" s="43"/>
      <c r="K36" s="43"/>
    </row>
    <row r="37" s="1" customFormat="true" ht="12" hidden="false" customHeight="true" outlineLevel="0" collapsed="false">
      <c r="A37" s="44" t="n">
        <v>8</v>
      </c>
      <c r="B37" s="38" t="s">
        <v>37</v>
      </c>
      <c r="C37" s="38" t="s">
        <v>26</v>
      </c>
      <c r="D37" s="45" t="s">
        <v>33</v>
      </c>
      <c r="E37" s="40" t="s">
        <v>34</v>
      </c>
      <c r="F37" s="41" t="n">
        <v>313</v>
      </c>
      <c r="G37" s="46"/>
      <c r="H37" s="46"/>
      <c r="I37" s="47"/>
      <c r="J37" s="47"/>
      <c r="K37" s="47"/>
    </row>
    <row r="38" s="1" customFormat="true" ht="12" hidden="false" customHeight="true" outlineLevel="0" collapsed="false">
      <c r="A38" s="44" t="n">
        <v>9</v>
      </c>
      <c r="B38" s="38" t="s">
        <v>37</v>
      </c>
      <c r="C38" s="38" t="s">
        <v>38</v>
      </c>
      <c r="D38" s="45" t="s">
        <v>33</v>
      </c>
      <c r="E38" s="40" t="s">
        <v>39</v>
      </c>
      <c r="F38" s="41" t="n">
        <v>14</v>
      </c>
      <c r="G38" s="46"/>
      <c r="H38" s="46"/>
      <c r="I38" s="43" t="str">
        <f aca="false">IF(H2="English","Type in the details for the other columns (Name, Number, Requests)","Tapez ensuite les détails des autres colonnes (Nom, Numéro, Demandes)")</f>
        <v>Type in the details for the other columns (Name, Number, Requests)</v>
      </c>
      <c r="J38" s="43"/>
      <c r="K38" s="43"/>
    </row>
    <row r="39" s="1" customFormat="true" ht="12" hidden="false" customHeight="true" outlineLevel="0" collapsed="false">
      <c r="A39" s="44" t="n">
        <v>10</v>
      </c>
      <c r="B39" s="38" t="s">
        <v>25</v>
      </c>
      <c r="C39" s="38" t="s">
        <v>38</v>
      </c>
      <c r="D39" s="45" t="s">
        <v>40</v>
      </c>
      <c r="E39" s="40" t="s">
        <v>41</v>
      </c>
      <c r="F39" s="41" t="n">
        <v>32</v>
      </c>
      <c r="G39" s="46" t="s">
        <v>29</v>
      </c>
      <c r="H39" s="46"/>
      <c r="I39" s="43"/>
      <c r="J39" s="43"/>
      <c r="K39" s="43"/>
    </row>
    <row r="40" s="1" customFormat="true" ht="12" hidden="false" customHeight="true" outlineLevel="0" collapsed="false">
      <c r="A40" s="44" t="n">
        <v>11</v>
      </c>
      <c r="B40" s="38" t="s">
        <v>25</v>
      </c>
      <c r="C40" s="38" t="s">
        <v>38</v>
      </c>
      <c r="D40" s="45" t="s">
        <v>40</v>
      </c>
      <c r="E40" s="40" t="s">
        <v>41</v>
      </c>
      <c r="F40" s="41" t="n">
        <v>32</v>
      </c>
      <c r="G40" s="46" t="s">
        <v>30</v>
      </c>
      <c r="H40" s="46"/>
      <c r="I40" s="43"/>
      <c r="J40" s="43"/>
      <c r="K40" s="43"/>
    </row>
    <row r="41" customFormat="false" ht="12" hidden="false" customHeight="true" outlineLevel="0" collapsed="false">
      <c r="A41" s="44" t="n">
        <v>12</v>
      </c>
      <c r="B41" s="38" t="s">
        <v>31</v>
      </c>
      <c r="C41" s="48" t="s">
        <v>38</v>
      </c>
      <c r="D41" s="45" t="s">
        <v>33</v>
      </c>
      <c r="E41" s="40" t="s">
        <v>41</v>
      </c>
      <c r="F41" s="41" t="n">
        <v>32</v>
      </c>
      <c r="G41" s="46"/>
      <c r="H41" s="46"/>
      <c r="I41" s="49"/>
      <c r="J41" s="49"/>
      <c r="K41" s="49"/>
    </row>
    <row r="42" customFormat="false" ht="12" hidden="false" customHeight="true" outlineLevel="0" collapsed="false">
      <c r="A42" s="44" t="n">
        <v>13</v>
      </c>
      <c r="B42" s="38" t="s">
        <v>25</v>
      </c>
      <c r="C42" s="48" t="s">
        <v>26</v>
      </c>
      <c r="D42" s="45" t="s">
        <v>40</v>
      </c>
      <c r="E42" s="40" t="s">
        <v>42</v>
      </c>
      <c r="F42" s="41" t="n">
        <v>58</v>
      </c>
      <c r="G42" s="46" t="s">
        <v>29</v>
      </c>
      <c r="H42" s="46"/>
      <c r="I42" s="49"/>
      <c r="J42" s="49"/>
      <c r="K42" s="49"/>
    </row>
    <row r="43" customFormat="false" ht="12" hidden="false" customHeight="true" outlineLevel="0" collapsed="false">
      <c r="A43" s="44" t="n">
        <v>14</v>
      </c>
      <c r="B43" s="38" t="s">
        <v>25</v>
      </c>
      <c r="C43" s="48" t="s">
        <v>26</v>
      </c>
      <c r="D43" s="45" t="s">
        <v>40</v>
      </c>
      <c r="E43" s="40" t="s">
        <v>42</v>
      </c>
      <c r="F43" s="41" t="n">
        <v>58</v>
      </c>
      <c r="G43" s="46" t="s">
        <v>30</v>
      </c>
      <c r="H43" s="46"/>
      <c r="I43" s="49"/>
      <c r="J43" s="49"/>
      <c r="K43" s="49"/>
    </row>
    <row r="44" customFormat="false" ht="12" hidden="false" customHeight="true" outlineLevel="0" collapsed="false">
      <c r="A44" s="44" t="n">
        <v>15</v>
      </c>
      <c r="B44" s="38" t="s">
        <v>31</v>
      </c>
      <c r="C44" s="48" t="s">
        <v>43</v>
      </c>
      <c r="D44" s="45" t="s">
        <v>40</v>
      </c>
      <c r="E44" s="40" t="s">
        <v>42</v>
      </c>
      <c r="F44" s="41" t="n">
        <v>58</v>
      </c>
      <c r="G44" s="46"/>
      <c r="H44" s="46"/>
      <c r="I44" s="49"/>
      <c r="J44" s="49"/>
      <c r="K44" s="49"/>
    </row>
    <row r="45" customFormat="false" ht="12" hidden="false" customHeight="true" outlineLevel="0" collapsed="false">
      <c r="A45" s="44" t="n">
        <v>16</v>
      </c>
      <c r="B45" s="38" t="s">
        <v>31</v>
      </c>
      <c r="C45" s="48" t="s">
        <v>32</v>
      </c>
      <c r="D45" s="45" t="s">
        <v>44</v>
      </c>
      <c r="E45" s="40" t="s">
        <v>45</v>
      </c>
      <c r="F45" s="41" t="n">
        <v>84</v>
      </c>
      <c r="G45" s="46"/>
      <c r="H45" s="46"/>
      <c r="I45" s="49"/>
      <c r="J45" s="49"/>
      <c r="K45" s="49"/>
    </row>
    <row r="46" customFormat="false" ht="12" hidden="false" customHeight="true" outlineLevel="0" collapsed="false">
      <c r="A46" s="44" t="n">
        <v>17</v>
      </c>
      <c r="B46" s="38" t="s">
        <v>46</v>
      </c>
      <c r="C46" s="48" t="s">
        <v>38</v>
      </c>
      <c r="D46" s="45" t="s">
        <v>40</v>
      </c>
      <c r="E46" s="40" t="s">
        <v>47</v>
      </c>
      <c r="F46" s="41" t="n">
        <v>42</v>
      </c>
      <c r="G46" s="46" t="s">
        <v>30</v>
      </c>
      <c r="H46" s="46"/>
      <c r="I46" s="49"/>
      <c r="J46" s="49"/>
      <c r="K46" s="49"/>
    </row>
    <row r="47" customFormat="false" ht="12" hidden="false" customHeight="true" outlineLevel="0" collapsed="false">
      <c r="A47" s="44" t="n">
        <v>18</v>
      </c>
      <c r="B47" s="38" t="s">
        <v>31</v>
      </c>
      <c r="C47" s="38" t="s">
        <v>32</v>
      </c>
      <c r="D47" s="45" t="s">
        <v>40</v>
      </c>
      <c r="E47" s="40" t="s">
        <v>47</v>
      </c>
      <c r="F47" s="41" t="n">
        <v>42</v>
      </c>
      <c r="G47" s="46"/>
      <c r="H47" s="46"/>
      <c r="I47" s="49"/>
      <c r="J47" s="49"/>
      <c r="K47" s="49"/>
    </row>
    <row r="48" customFormat="false" ht="12" hidden="false" customHeight="true" outlineLevel="0" collapsed="false">
      <c r="A48" s="44" t="n">
        <v>19</v>
      </c>
      <c r="B48" s="38" t="s">
        <v>37</v>
      </c>
      <c r="C48" s="38" t="s">
        <v>38</v>
      </c>
      <c r="D48" s="45" t="s">
        <v>33</v>
      </c>
      <c r="E48" s="40" t="s">
        <v>47</v>
      </c>
      <c r="F48" s="41" t="n">
        <v>42</v>
      </c>
      <c r="G48" s="46"/>
      <c r="H48" s="46"/>
      <c r="I48" s="49"/>
      <c r="J48" s="49"/>
      <c r="K48" s="49"/>
    </row>
    <row r="49" customFormat="false" ht="12" hidden="false" customHeight="true" outlineLevel="0" collapsed="false">
      <c r="A49" s="44" t="n">
        <v>20</v>
      </c>
      <c r="B49" s="38" t="s">
        <v>35</v>
      </c>
      <c r="C49" s="38" t="s">
        <v>26</v>
      </c>
      <c r="D49" s="45" t="s">
        <v>40</v>
      </c>
      <c r="E49" s="40" t="s">
        <v>48</v>
      </c>
      <c r="F49" s="41" t="n">
        <v>10</v>
      </c>
      <c r="G49" s="46" t="s">
        <v>36</v>
      </c>
      <c r="H49" s="46"/>
      <c r="I49" s="49"/>
      <c r="J49" s="49"/>
      <c r="K49" s="49"/>
    </row>
    <row r="50" customFormat="false" ht="12" hidden="false" customHeight="true" outlineLevel="0" collapsed="false">
      <c r="A50" s="44" t="n">
        <v>21</v>
      </c>
      <c r="B50" s="38" t="s">
        <v>46</v>
      </c>
      <c r="C50" s="38" t="s">
        <v>26</v>
      </c>
      <c r="D50" s="45" t="s">
        <v>40</v>
      </c>
      <c r="E50" s="40" t="s">
        <v>48</v>
      </c>
      <c r="F50" s="41" t="n">
        <v>10</v>
      </c>
      <c r="G50" s="46" t="s">
        <v>29</v>
      </c>
      <c r="H50" s="46"/>
      <c r="I50" s="49"/>
      <c r="J50" s="49"/>
      <c r="K50" s="49"/>
    </row>
    <row r="51" customFormat="false" ht="12" hidden="false" customHeight="true" outlineLevel="0" collapsed="false">
      <c r="A51" s="44" t="n">
        <v>22</v>
      </c>
      <c r="B51" s="38" t="s">
        <v>49</v>
      </c>
      <c r="C51" s="38" t="s">
        <v>26</v>
      </c>
      <c r="D51" s="45" t="s">
        <v>40</v>
      </c>
      <c r="E51" s="40" t="s">
        <v>48</v>
      </c>
      <c r="F51" s="41" t="n">
        <v>10</v>
      </c>
      <c r="G51" s="46"/>
      <c r="H51" s="46"/>
      <c r="I51" s="49"/>
      <c r="J51" s="49"/>
      <c r="K51" s="49"/>
    </row>
    <row r="52" customFormat="false" ht="12" hidden="false" customHeight="true" outlineLevel="0" collapsed="false">
      <c r="A52" s="44" t="n">
        <v>23</v>
      </c>
      <c r="B52" s="38" t="s">
        <v>35</v>
      </c>
      <c r="C52" s="38" t="s">
        <v>26</v>
      </c>
      <c r="D52" s="45" t="s">
        <v>40</v>
      </c>
      <c r="E52" s="40" t="s">
        <v>50</v>
      </c>
      <c r="F52" s="41" t="n">
        <v>73</v>
      </c>
      <c r="G52" s="46" t="s">
        <v>36</v>
      </c>
      <c r="H52" s="46"/>
      <c r="I52" s="49"/>
      <c r="J52" s="49"/>
      <c r="K52" s="49"/>
    </row>
    <row r="53" customFormat="false" ht="12" hidden="false" customHeight="true" outlineLevel="0" collapsed="false">
      <c r="A53" s="44" t="n">
        <v>24</v>
      </c>
      <c r="B53" s="38" t="s">
        <v>46</v>
      </c>
      <c r="C53" s="38" t="s">
        <v>26</v>
      </c>
      <c r="D53" s="45" t="s">
        <v>40</v>
      </c>
      <c r="E53" s="40" t="s">
        <v>50</v>
      </c>
      <c r="F53" s="41" t="n">
        <v>73</v>
      </c>
      <c r="G53" s="46" t="s">
        <v>29</v>
      </c>
      <c r="H53" s="46"/>
      <c r="I53" s="49"/>
      <c r="J53" s="49"/>
      <c r="K53" s="49"/>
    </row>
    <row r="54" customFormat="false" ht="12" hidden="false" customHeight="true" outlineLevel="0" collapsed="false">
      <c r="A54" s="44" t="n">
        <v>25</v>
      </c>
      <c r="B54" s="38" t="s">
        <v>49</v>
      </c>
      <c r="C54" s="38" t="s">
        <v>26</v>
      </c>
      <c r="D54" s="45" t="s">
        <v>40</v>
      </c>
      <c r="E54" s="40" t="s">
        <v>50</v>
      </c>
      <c r="F54" s="41" t="n">
        <v>73</v>
      </c>
      <c r="G54" s="46"/>
      <c r="H54" s="46"/>
      <c r="I54" s="49"/>
      <c r="J54" s="49"/>
      <c r="K54" s="49"/>
    </row>
    <row r="55" customFormat="false" ht="12" hidden="false" customHeight="true" outlineLevel="0" collapsed="false">
      <c r="A55" s="44" t="n">
        <v>26</v>
      </c>
      <c r="B55" s="38"/>
      <c r="C55" s="48"/>
      <c r="D55" s="45"/>
      <c r="E55" s="50"/>
      <c r="F55" s="51"/>
      <c r="G55" s="52"/>
      <c r="H55" s="52"/>
      <c r="I55" s="49"/>
      <c r="J55" s="49"/>
      <c r="K55" s="49"/>
    </row>
    <row r="56" customFormat="false" ht="12" hidden="false" customHeight="true" outlineLevel="0" collapsed="false">
      <c r="A56" s="44" t="n">
        <v>27</v>
      </c>
      <c r="B56" s="38"/>
      <c r="C56" s="48"/>
      <c r="D56" s="45"/>
      <c r="E56" s="50"/>
      <c r="F56" s="51"/>
      <c r="G56" s="52"/>
      <c r="H56" s="52"/>
      <c r="I56" s="49"/>
      <c r="J56" s="49"/>
      <c r="K56" s="49"/>
    </row>
    <row r="57" customFormat="false" ht="12" hidden="false" customHeight="true" outlineLevel="0" collapsed="false">
      <c r="A57" s="44" t="n">
        <v>28</v>
      </c>
      <c r="B57" s="38"/>
      <c r="C57" s="48"/>
      <c r="D57" s="45"/>
      <c r="E57" s="50"/>
      <c r="F57" s="51"/>
      <c r="G57" s="52"/>
      <c r="H57" s="52"/>
      <c r="I57" s="49"/>
      <c r="J57" s="49"/>
      <c r="K57" s="49"/>
    </row>
    <row r="58" customFormat="false" ht="12" hidden="false" customHeight="true" outlineLevel="0" collapsed="false">
      <c r="A58" s="44" t="n">
        <v>29</v>
      </c>
      <c r="B58" s="38"/>
      <c r="C58" s="48"/>
      <c r="D58" s="45"/>
      <c r="E58" s="50"/>
      <c r="F58" s="51"/>
      <c r="G58" s="52"/>
      <c r="H58" s="52"/>
      <c r="I58" s="49"/>
      <c r="J58" s="49"/>
      <c r="K58" s="49"/>
    </row>
    <row r="59" customFormat="false" ht="12" hidden="false" customHeight="true" outlineLevel="0" collapsed="false">
      <c r="A59" s="44" t="n">
        <v>30</v>
      </c>
      <c r="B59" s="38"/>
      <c r="C59" s="48"/>
      <c r="D59" s="45"/>
      <c r="E59" s="50"/>
      <c r="F59" s="51"/>
      <c r="G59" s="52"/>
      <c r="H59" s="52"/>
      <c r="I59" s="49"/>
      <c r="J59" s="49"/>
      <c r="K59" s="49"/>
    </row>
    <row r="60" customFormat="false" ht="12" hidden="false" customHeight="true" outlineLevel="0" collapsed="false">
      <c r="A60" s="44" t="n">
        <v>31</v>
      </c>
      <c r="B60" s="38"/>
      <c r="C60" s="48"/>
      <c r="D60" s="45"/>
      <c r="E60" s="50"/>
      <c r="F60" s="51"/>
      <c r="G60" s="52"/>
      <c r="H60" s="52"/>
      <c r="I60" s="49"/>
      <c r="J60" s="49"/>
      <c r="K60" s="49"/>
    </row>
    <row r="61" customFormat="false" ht="12" hidden="false" customHeight="true" outlineLevel="0" collapsed="false">
      <c r="A61" s="44" t="n">
        <v>32</v>
      </c>
      <c r="B61" s="38"/>
      <c r="C61" s="48"/>
      <c r="D61" s="45"/>
      <c r="E61" s="50"/>
      <c r="F61" s="51"/>
      <c r="G61" s="52"/>
      <c r="H61" s="52"/>
      <c r="I61" s="49"/>
      <c r="J61" s="49"/>
      <c r="K61" s="49"/>
    </row>
    <row r="62" customFormat="false" ht="12" hidden="false" customHeight="true" outlineLevel="0" collapsed="false">
      <c r="A62" s="44" t="n">
        <v>33</v>
      </c>
      <c r="B62" s="38"/>
      <c r="C62" s="48"/>
      <c r="D62" s="45"/>
      <c r="E62" s="50"/>
      <c r="F62" s="51"/>
      <c r="G62" s="52"/>
      <c r="H62" s="52"/>
      <c r="I62" s="49"/>
      <c r="J62" s="49"/>
      <c r="K62" s="49"/>
    </row>
    <row r="63" customFormat="false" ht="12" hidden="false" customHeight="true" outlineLevel="0" collapsed="false">
      <c r="A63" s="44" t="n">
        <v>34</v>
      </c>
      <c r="B63" s="50"/>
      <c r="C63" s="48"/>
      <c r="D63" s="45"/>
      <c r="E63" s="50"/>
      <c r="F63" s="51"/>
      <c r="G63" s="52"/>
      <c r="H63" s="52"/>
      <c r="I63" s="49"/>
      <c r="J63" s="49"/>
      <c r="K63" s="49"/>
    </row>
    <row r="64" customFormat="false" ht="12" hidden="false" customHeight="true" outlineLevel="0" collapsed="false">
      <c r="A64" s="44" t="n">
        <v>35</v>
      </c>
      <c r="B64" s="50"/>
      <c r="C64" s="48"/>
      <c r="D64" s="45"/>
      <c r="E64" s="50"/>
      <c r="F64" s="51"/>
      <c r="G64" s="52"/>
      <c r="H64" s="52"/>
      <c r="I64" s="49"/>
      <c r="J64" s="49"/>
      <c r="K64" s="49"/>
    </row>
    <row r="65" customFormat="false" ht="12" hidden="false" customHeight="true" outlineLevel="0" collapsed="false">
      <c r="A65" s="44" t="n">
        <v>36</v>
      </c>
      <c r="B65" s="50"/>
      <c r="C65" s="48"/>
      <c r="D65" s="45"/>
      <c r="E65" s="50"/>
      <c r="F65" s="51"/>
      <c r="G65" s="52"/>
      <c r="H65" s="52"/>
      <c r="I65" s="49"/>
      <c r="J65" s="49"/>
      <c r="K65" s="49"/>
    </row>
    <row r="66" customFormat="false" ht="12" hidden="false" customHeight="true" outlineLevel="0" collapsed="false">
      <c r="A66" s="44" t="n">
        <v>37</v>
      </c>
      <c r="B66" s="50"/>
      <c r="C66" s="48"/>
      <c r="D66" s="45"/>
      <c r="E66" s="50"/>
      <c r="F66" s="51"/>
      <c r="G66" s="52"/>
      <c r="H66" s="52"/>
      <c r="I66" s="49"/>
      <c r="J66" s="49"/>
      <c r="K66" s="49"/>
    </row>
    <row r="67" customFormat="false" ht="12" hidden="false" customHeight="true" outlineLevel="0" collapsed="false">
      <c r="A67" s="44" t="n">
        <v>38</v>
      </c>
      <c r="B67" s="50"/>
      <c r="C67" s="48"/>
      <c r="D67" s="45"/>
      <c r="E67" s="50"/>
      <c r="F67" s="51"/>
      <c r="G67" s="52"/>
      <c r="H67" s="52"/>
      <c r="I67" s="49"/>
      <c r="J67" s="49"/>
      <c r="K67" s="49"/>
    </row>
    <row r="68" customFormat="false" ht="12" hidden="false" customHeight="true" outlineLevel="0" collapsed="false">
      <c r="A68" s="44" t="n">
        <v>39</v>
      </c>
      <c r="B68" s="50"/>
      <c r="C68" s="48"/>
      <c r="D68" s="45"/>
      <c r="E68" s="50"/>
      <c r="F68" s="51"/>
      <c r="G68" s="52"/>
      <c r="H68" s="52"/>
      <c r="I68" s="49"/>
      <c r="J68" s="49"/>
      <c r="K68" s="49"/>
    </row>
    <row r="69" customFormat="false" ht="12" hidden="false" customHeight="true" outlineLevel="0" collapsed="false">
      <c r="A69" s="44" t="n">
        <v>40</v>
      </c>
      <c r="B69" s="50"/>
      <c r="C69" s="48"/>
      <c r="D69" s="45"/>
      <c r="E69" s="50"/>
      <c r="F69" s="51"/>
      <c r="G69" s="52"/>
      <c r="H69" s="52"/>
      <c r="I69" s="49"/>
      <c r="J69" s="49"/>
      <c r="K69" s="49"/>
    </row>
    <row r="70" customFormat="false" ht="12" hidden="false" customHeight="true" outlineLevel="0" collapsed="false">
      <c r="A70" s="44" t="n">
        <v>41</v>
      </c>
      <c r="B70" s="50"/>
      <c r="C70" s="48"/>
      <c r="D70" s="45"/>
      <c r="E70" s="50"/>
      <c r="F70" s="51"/>
      <c r="G70" s="52"/>
      <c r="H70" s="52"/>
      <c r="I70" s="49"/>
      <c r="J70" s="49"/>
      <c r="K70" s="49"/>
    </row>
    <row r="71" customFormat="false" ht="12" hidden="false" customHeight="true" outlineLevel="0" collapsed="false">
      <c r="A71" s="44" t="n">
        <v>42</v>
      </c>
      <c r="B71" s="50"/>
      <c r="C71" s="48"/>
      <c r="D71" s="45"/>
      <c r="E71" s="50"/>
      <c r="F71" s="51"/>
      <c r="G71" s="52"/>
      <c r="H71" s="52"/>
      <c r="I71" s="49"/>
      <c r="J71" s="49"/>
      <c r="K71" s="49"/>
    </row>
    <row r="72" customFormat="false" ht="12" hidden="false" customHeight="true" outlineLevel="0" collapsed="false">
      <c r="A72" s="44" t="n">
        <v>43</v>
      </c>
      <c r="B72" s="50"/>
      <c r="C72" s="48"/>
      <c r="D72" s="45"/>
      <c r="E72" s="50"/>
      <c r="F72" s="51"/>
      <c r="G72" s="52"/>
      <c r="H72" s="52"/>
      <c r="I72" s="49"/>
      <c r="J72" s="49"/>
      <c r="K72" s="49"/>
    </row>
    <row r="73" customFormat="false" ht="12" hidden="false" customHeight="true" outlineLevel="0" collapsed="false">
      <c r="A73" s="44" t="n">
        <v>44</v>
      </c>
      <c r="B73" s="50"/>
      <c r="C73" s="48"/>
      <c r="D73" s="45"/>
      <c r="E73" s="50"/>
      <c r="F73" s="51"/>
      <c r="G73" s="52"/>
      <c r="H73" s="52"/>
      <c r="I73" s="49"/>
      <c r="J73" s="49"/>
      <c r="K73" s="49"/>
    </row>
    <row r="74" customFormat="false" ht="12" hidden="false" customHeight="true" outlineLevel="0" collapsed="false">
      <c r="A74" s="44" t="n">
        <v>45</v>
      </c>
      <c r="B74" s="50"/>
      <c r="C74" s="48"/>
      <c r="D74" s="45"/>
      <c r="E74" s="50"/>
      <c r="F74" s="51"/>
      <c r="G74" s="52"/>
      <c r="H74" s="52"/>
      <c r="I74" s="49"/>
      <c r="J74" s="49"/>
      <c r="K74" s="49"/>
    </row>
    <row r="75" customFormat="false" ht="12" hidden="false" customHeight="true" outlineLevel="0" collapsed="false">
      <c r="A75" s="44" t="n">
        <v>46</v>
      </c>
      <c r="B75" s="50"/>
      <c r="C75" s="48"/>
      <c r="D75" s="45"/>
      <c r="E75" s="50"/>
      <c r="F75" s="51"/>
      <c r="G75" s="52"/>
      <c r="H75" s="52"/>
      <c r="I75" s="49"/>
      <c r="J75" s="49"/>
      <c r="K75" s="49"/>
    </row>
    <row r="76" customFormat="false" ht="12" hidden="false" customHeight="true" outlineLevel="0" collapsed="false">
      <c r="A76" s="44" t="n">
        <v>47</v>
      </c>
      <c r="B76" s="50"/>
      <c r="C76" s="48"/>
      <c r="D76" s="45"/>
      <c r="E76" s="50"/>
      <c r="F76" s="51"/>
      <c r="G76" s="52"/>
      <c r="H76" s="52"/>
      <c r="I76" s="49"/>
      <c r="J76" s="49"/>
      <c r="K76" s="49"/>
    </row>
    <row r="77" customFormat="false" ht="12" hidden="false" customHeight="true" outlineLevel="0" collapsed="false">
      <c r="A77" s="44" t="n">
        <v>48</v>
      </c>
      <c r="B77" s="50"/>
      <c r="C77" s="48"/>
      <c r="D77" s="45"/>
      <c r="E77" s="50"/>
      <c r="F77" s="51"/>
      <c r="G77" s="52"/>
      <c r="H77" s="52"/>
      <c r="I77" s="49"/>
      <c r="J77" s="49"/>
      <c r="K77" s="49"/>
    </row>
    <row r="78" customFormat="false" ht="12" hidden="false" customHeight="true" outlineLevel="0" collapsed="false">
      <c r="A78" s="44" t="n">
        <v>49</v>
      </c>
      <c r="B78" s="50"/>
      <c r="C78" s="48"/>
      <c r="D78" s="45"/>
      <c r="E78" s="50"/>
      <c r="F78" s="51"/>
      <c r="G78" s="52"/>
      <c r="H78" s="52"/>
      <c r="I78" s="49"/>
      <c r="J78" s="49"/>
      <c r="K78" s="49"/>
    </row>
    <row r="79" customFormat="false" ht="12" hidden="false" customHeight="true" outlineLevel="0" collapsed="false">
      <c r="A79" s="44" t="n">
        <v>50</v>
      </c>
      <c r="B79" s="50"/>
      <c r="C79" s="48"/>
      <c r="D79" s="45"/>
      <c r="E79" s="50"/>
      <c r="F79" s="51"/>
      <c r="G79" s="52"/>
      <c r="H79" s="52"/>
      <c r="I79" s="49"/>
      <c r="J79" s="49"/>
      <c r="K79" s="49"/>
    </row>
    <row r="80" customFormat="false" ht="12" hidden="false" customHeight="true" outlineLevel="0" collapsed="false">
      <c r="A80" s="44" t="n">
        <v>51</v>
      </c>
      <c r="B80" s="50"/>
      <c r="C80" s="48"/>
      <c r="D80" s="45"/>
      <c r="E80" s="50"/>
      <c r="F80" s="51"/>
      <c r="G80" s="52"/>
      <c r="H80" s="52"/>
      <c r="I80" s="49"/>
      <c r="J80" s="49"/>
      <c r="K80" s="49"/>
    </row>
    <row r="81" customFormat="false" ht="12" hidden="false" customHeight="true" outlineLevel="0" collapsed="false">
      <c r="A81" s="44" t="n">
        <v>52</v>
      </c>
      <c r="B81" s="50"/>
      <c r="C81" s="48"/>
      <c r="D81" s="45"/>
      <c r="E81" s="50"/>
      <c r="F81" s="51"/>
      <c r="G81" s="52"/>
      <c r="H81" s="52"/>
      <c r="I81" s="49"/>
      <c r="J81" s="49"/>
      <c r="K81" s="49"/>
    </row>
    <row r="82" customFormat="false" ht="12" hidden="false" customHeight="true" outlineLevel="0" collapsed="false">
      <c r="A82" s="44" t="n">
        <v>53</v>
      </c>
      <c r="B82" s="50"/>
      <c r="C82" s="48"/>
      <c r="D82" s="45"/>
      <c r="E82" s="50"/>
      <c r="F82" s="51"/>
      <c r="G82" s="52"/>
      <c r="H82" s="52"/>
      <c r="I82" s="49"/>
      <c r="J82" s="49"/>
      <c r="K82" s="49"/>
    </row>
    <row r="83" customFormat="false" ht="12" hidden="false" customHeight="true" outlineLevel="0" collapsed="false">
      <c r="A83" s="44" t="n">
        <v>54</v>
      </c>
      <c r="B83" s="50"/>
      <c r="C83" s="48"/>
      <c r="D83" s="45"/>
      <c r="E83" s="50"/>
      <c r="F83" s="51"/>
      <c r="G83" s="52"/>
      <c r="H83" s="52"/>
      <c r="I83" s="49"/>
      <c r="J83" s="49"/>
      <c r="K83" s="49"/>
    </row>
    <row r="84" customFormat="false" ht="12" hidden="false" customHeight="true" outlineLevel="0" collapsed="false">
      <c r="A84" s="44" t="n">
        <v>55</v>
      </c>
      <c r="B84" s="50"/>
      <c r="C84" s="48"/>
      <c r="D84" s="45"/>
      <c r="E84" s="50"/>
      <c r="F84" s="51"/>
      <c r="G84" s="52"/>
      <c r="H84" s="52"/>
      <c r="I84" s="49"/>
      <c r="J84" s="49"/>
      <c r="K84" s="49"/>
    </row>
    <row r="85" customFormat="false" ht="12" hidden="false" customHeight="true" outlineLevel="0" collapsed="false">
      <c r="A85" s="44" t="n">
        <v>56</v>
      </c>
      <c r="B85" s="50"/>
      <c r="C85" s="48"/>
      <c r="D85" s="45"/>
      <c r="E85" s="50"/>
      <c r="F85" s="51"/>
      <c r="G85" s="52"/>
      <c r="H85" s="52"/>
      <c r="I85" s="49"/>
      <c r="J85" s="49"/>
      <c r="K85" s="49"/>
    </row>
    <row r="86" customFormat="false" ht="12" hidden="false" customHeight="true" outlineLevel="0" collapsed="false">
      <c r="A86" s="44" t="n">
        <v>57</v>
      </c>
      <c r="B86" s="50"/>
      <c r="C86" s="48"/>
      <c r="D86" s="45"/>
      <c r="E86" s="50"/>
      <c r="F86" s="51"/>
      <c r="G86" s="52"/>
      <c r="H86" s="52"/>
      <c r="I86" s="49"/>
      <c r="J86" s="49"/>
      <c r="K86" s="49"/>
    </row>
    <row r="87" customFormat="false" ht="12" hidden="false" customHeight="true" outlineLevel="0" collapsed="false">
      <c r="A87" s="44" t="n">
        <v>58</v>
      </c>
      <c r="B87" s="50"/>
      <c r="C87" s="48"/>
      <c r="D87" s="45"/>
      <c r="E87" s="50"/>
      <c r="F87" s="51"/>
      <c r="G87" s="52"/>
      <c r="H87" s="52"/>
      <c r="I87" s="49"/>
      <c r="J87" s="49"/>
      <c r="K87" s="49"/>
    </row>
    <row r="88" customFormat="false" ht="12" hidden="false" customHeight="true" outlineLevel="0" collapsed="false">
      <c r="A88" s="44" t="n">
        <v>59</v>
      </c>
      <c r="B88" s="50"/>
      <c r="C88" s="48"/>
      <c r="D88" s="45"/>
      <c r="E88" s="50"/>
      <c r="F88" s="51"/>
      <c r="G88" s="52"/>
      <c r="H88" s="52"/>
      <c r="I88" s="49"/>
      <c r="J88" s="49"/>
      <c r="K88" s="49"/>
    </row>
    <row r="89" customFormat="false" ht="12" hidden="false" customHeight="true" outlineLevel="0" collapsed="false">
      <c r="A89" s="44" t="n">
        <v>60</v>
      </c>
      <c r="B89" s="50"/>
      <c r="C89" s="48"/>
      <c r="D89" s="45"/>
      <c r="E89" s="50"/>
      <c r="F89" s="51"/>
      <c r="G89" s="52"/>
      <c r="H89" s="52"/>
      <c r="I89" s="49"/>
      <c r="J89" s="49"/>
      <c r="K89" s="49"/>
    </row>
    <row r="90" customFormat="false" ht="12" hidden="false" customHeight="true" outlineLevel="0" collapsed="false">
      <c r="A90" s="44" t="n">
        <v>61</v>
      </c>
      <c r="B90" s="50"/>
      <c r="C90" s="48"/>
      <c r="D90" s="45"/>
      <c r="E90" s="50"/>
      <c r="F90" s="51"/>
      <c r="G90" s="52"/>
      <c r="H90" s="52"/>
      <c r="I90" s="49"/>
      <c r="J90" s="49"/>
      <c r="K90" s="49"/>
    </row>
    <row r="91" customFormat="false" ht="12" hidden="false" customHeight="true" outlineLevel="0" collapsed="false">
      <c r="A91" s="44" t="n">
        <v>62</v>
      </c>
      <c r="B91" s="50"/>
      <c r="C91" s="48"/>
      <c r="D91" s="45"/>
      <c r="E91" s="50"/>
      <c r="F91" s="51"/>
      <c r="G91" s="52"/>
      <c r="H91" s="52"/>
      <c r="I91" s="49"/>
      <c r="J91" s="49"/>
      <c r="K91" s="49"/>
    </row>
    <row r="92" customFormat="false" ht="12" hidden="false" customHeight="true" outlineLevel="0" collapsed="false">
      <c r="A92" s="44" t="n">
        <v>63</v>
      </c>
      <c r="B92" s="50"/>
      <c r="C92" s="48"/>
      <c r="D92" s="45"/>
      <c r="E92" s="50"/>
      <c r="F92" s="51"/>
      <c r="G92" s="52"/>
      <c r="H92" s="52"/>
      <c r="I92" s="49"/>
      <c r="J92" s="49"/>
      <c r="K92" s="49"/>
    </row>
    <row r="93" customFormat="false" ht="12" hidden="false" customHeight="true" outlineLevel="0" collapsed="false">
      <c r="A93" s="44" t="n">
        <v>64</v>
      </c>
      <c r="B93" s="50"/>
      <c r="C93" s="48"/>
      <c r="D93" s="45"/>
      <c r="E93" s="50"/>
      <c r="F93" s="51"/>
      <c r="G93" s="52"/>
      <c r="H93" s="52"/>
      <c r="I93" s="49"/>
      <c r="J93" s="49"/>
      <c r="K93" s="49"/>
    </row>
    <row r="94" customFormat="false" ht="12" hidden="false" customHeight="true" outlineLevel="0" collapsed="false">
      <c r="A94" s="44" t="n">
        <v>65</v>
      </c>
      <c r="B94" s="50"/>
      <c r="C94" s="48"/>
      <c r="D94" s="45"/>
      <c r="E94" s="50"/>
      <c r="F94" s="51"/>
      <c r="G94" s="52"/>
      <c r="H94" s="52"/>
      <c r="I94" s="49"/>
      <c r="J94" s="49"/>
      <c r="K94" s="49"/>
    </row>
    <row r="95" customFormat="false" ht="12" hidden="false" customHeight="true" outlineLevel="0" collapsed="false">
      <c r="A95" s="44" t="n">
        <v>66</v>
      </c>
      <c r="B95" s="38"/>
      <c r="C95" s="38"/>
      <c r="D95" s="39"/>
      <c r="E95" s="53"/>
      <c r="F95" s="54"/>
      <c r="G95" s="55"/>
      <c r="H95" s="55"/>
      <c r="I95" s="49"/>
      <c r="J95" s="49"/>
      <c r="K95" s="49"/>
    </row>
    <row r="96" customFormat="false" ht="12" hidden="false" customHeight="true" outlineLevel="0" collapsed="false">
      <c r="A96" s="44" t="n">
        <v>67</v>
      </c>
      <c r="B96" s="38"/>
      <c r="C96" s="48"/>
      <c r="D96" s="45"/>
      <c r="E96" s="53"/>
      <c r="F96" s="51"/>
      <c r="G96" s="55"/>
      <c r="H96" s="55"/>
      <c r="I96" s="49"/>
      <c r="J96" s="49"/>
      <c r="K96" s="49"/>
    </row>
    <row r="97" customFormat="false" ht="12" hidden="false" customHeight="true" outlineLevel="0" collapsed="false">
      <c r="A97" s="44" t="n">
        <v>68</v>
      </c>
      <c r="B97" s="38"/>
      <c r="C97" s="48"/>
      <c r="D97" s="45"/>
      <c r="E97" s="53"/>
      <c r="F97" s="51"/>
      <c r="G97" s="55"/>
      <c r="H97" s="55"/>
      <c r="I97" s="49"/>
      <c r="J97" s="49"/>
      <c r="K97" s="49"/>
    </row>
    <row r="98" customFormat="false" ht="12" hidden="false" customHeight="true" outlineLevel="0" collapsed="false">
      <c r="A98" s="44" t="n">
        <v>69</v>
      </c>
      <c r="B98" s="38"/>
      <c r="C98" s="48"/>
      <c r="D98" s="45"/>
      <c r="E98" s="53"/>
      <c r="F98" s="51"/>
      <c r="G98" s="55"/>
      <c r="H98" s="55"/>
      <c r="I98" s="49"/>
      <c r="J98" s="49"/>
      <c r="K98" s="49"/>
    </row>
    <row r="99" customFormat="false" ht="12" hidden="false" customHeight="true" outlineLevel="0" collapsed="false">
      <c r="A99" s="44" t="n">
        <v>70</v>
      </c>
      <c r="B99" s="38"/>
      <c r="C99" s="48"/>
      <c r="D99" s="45"/>
      <c r="E99" s="53"/>
      <c r="F99" s="51"/>
      <c r="G99" s="55"/>
      <c r="H99" s="55"/>
      <c r="I99" s="49"/>
      <c r="J99" s="49"/>
      <c r="K99" s="49"/>
    </row>
    <row r="100" customFormat="false" ht="12" hidden="false" customHeight="true" outlineLevel="0" collapsed="false">
      <c r="A100" s="44" t="n">
        <v>71</v>
      </c>
      <c r="B100" s="38"/>
      <c r="C100" s="48"/>
      <c r="D100" s="45"/>
      <c r="E100" s="53"/>
      <c r="F100" s="51"/>
      <c r="G100" s="55"/>
      <c r="H100" s="55"/>
      <c r="I100" s="49"/>
      <c r="J100" s="49"/>
      <c r="K100" s="49"/>
    </row>
    <row r="101" customFormat="false" ht="12" hidden="false" customHeight="true" outlineLevel="0" collapsed="false">
      <c r="A101" s="44" t="n">
        <v>72</v>
      </c>
      <c r="B101" s="38"/>
      <c r="C101" s="48"/>
      <c r="D101" s="45"/>
      <c r="E101" s="53"/>
      <c r="F101" s="51"/>
      <c r="G101" s="55"/>
      <c r="H101" s="55"/>
      <c r="I101" s="49"/>
      <c r="J101" s="49"/>
      <c r="K101" s="49"/>
    </row>
    <row r="102" customFormat="false" ht="12" hidden="false" customHeight="true" outlineLevel="0" collapsed="false">
      <c r="A102" s="44" t="n">
        <v>73</v>
      </c>
      <c r="B102" s="38"/>
      <c r="C102" s="48"/>
      <c r="D102" s="45"/>
      <c r="E102" s="53"/>
      <c r="F102" s="51"/>
      <c r="G102" s="55"/>
      <c r="H102" s="55"/>
      <c r="I102" s="49"/>
      <c r="J102" s="49"/>
      <c r="K102" s="49"/>
    </row>
    <row r="103" customFormat="false" ht="12" hidden="false" customHeight="true" outlineLevel="0" collapsed="false">
      <c r="A103" s="44" t="n">
        <v>74</v>
      </c>
      <c r="B103" s="38"/>
      <c r="C103" s="48"/>
      <c r="D103" s="45"/>
      <c r="E103" s="53"/>
      <c r="F103" s="51"/>
      <c r="G103" s="55"/>
      <c r="H103" s="55"/>
      <c r="I103" s="49"/>
      <c r="J103" s="49"/>
      <c r="K103" s="49"/>
    </row>
    <row r="104" customFormat="false" ht="12" hidden="false" customHeight="true" outlineLevel="0" collapsed="false">
      <c r="A104" s="44" t="n">
        <v>75</v>
      </c>
      <c r="B104" s="38"/>
      <c r="C104" s="48"/>
      <c r="D104" s="45"/>
      <c r="E104" s="53"/>
      <c r="F104" s="51"/>
      <c r="G104" s="55"/>
      <c r="H104" s="55"/>
      <c r="I104" s="49"/>
      <c r="J104" s="49"/>
      <c r="K104" s="49"/>
    </row>
    <row r="105" customFormat="false" ht="12" hidden="false" customHeight="true" outlineLevel="0" collapsed="false">
      <c r="A105" s="44" t="n">
        <v>76</v>
      </c>
      <c r="B105" s="38"/>
      <c r="C105" s="48"/>
      <c r="D105" s="45"/>
      <c r="E105" s="53"/>
      <c r="F105" s="51"/>
      <c r="G105" s="55"/>
      <c r="H105" s="55"/>
      <c r="I105" s="49"/>
      <c r="J105" s="49"/>
      <c r="K105" s="49"/>
    </row>
    <row r="106" customFormat="false" ht="12" hidden="false" customHeight="true" outlineLevel="0" collapsed="false">
      <c r="A106" s="44" t="n">
        <v>77</v>
      </c>
      <c r="B106" s="38"/>
      <c r="C106" s="48"/>
      <c r="D106" s="45"/>
      <c r="E106" s="53"/>
      <c r="F106" s="51"/>
      <c r="G106" s="55"/>
      <c r="H106" s="55"/>
      <c r="I106" s="49"/>
      <c r="J106" s="49"/>
      <c r="K106" s="49"/>
    </row>
    <row r="107" customFormat="false" ht="12" hidden="false" customHeight="true" outlineLevel="0" collapsed="false">
      <c r="A107" s="44" t="n">
        <v>78</v>
      </c>
      <c r="B107" s="38"/>
      <c r="C107" s="48"/>
      <c r="D107" s="45"/>
      <c r="E107" s="53"/>
      <c r="F107" s="51"/>
      <c r="G107" s="55"/>
      <c r="H107" s="55"/>
      <c r="I107" s="49"/>
      <c r="J107" s="49"/>
      <c r="K107" s="49"/>
    </row>
    <row r="108" customFormat="false" ht="12" hidden="false" customHeight="true" outlineLevel="0" collapsed="false">
      <c r="A108" s="44" t="n">
        <v>79</v>
      </c>
      <c r="B108" s="38"/>
      <c r="C108" s="48"/>
      <c r="D108" s="45"/>
      <c r="E108" s="53"/>
      <c r="F108" s="51"/>
      <c r="G108" s="55"/>
      <c r="H108" s="55"/>
      <c r="I108" s="49"/>
      <c r="J108" s="49"/>
      <c r="K108" s="49"/>
    </row>
    <row r="109" customFormat="false" ht="12" hidden="false" customHeight="true" outlineLevel="0" collapsed="false">
      <c r="A109" s="44" t="n">
        <v>80</v>
      </c>
      <c r="B109" s="38"/>
      <c r="C109" s="48"/>
      <c r="D109" s="45"/>
      <c r="E109" s="53"/>
      <c r="F109" s="51"/>
      <c r="G109" s="55"/>
      <c r="H109" s="55"/>
      <c r="I109" s="49"/>
      <c r="J109" s="49"/>
      <c r="K109" s="49"/>
    </row>
    <row r="110" customFormat="false" ht="12" hidden="false" customHeight="true" outlineLevel="0" collapsed="false">
      <c r="A110" s="44" t="n">
        <v>81</v>
      </c>
      <c r="B110" s="38"/>
      <c r="C110" s="48"/>
      <c r="D110" s="45"/>
      <c r="E110" s="53"/>
      <c r="F110" s="51"/>
      <c r="G110" s="55"/>
      <c r="H110" s="55"/>
      <c r="I110" s="49"/>
      <c r="J110" s="49"/>
      <c r="K110" s="49"/>
    </row>
    <row r="111" customFormat="false" ht="12" hidden="false" customHeight="true" outlineLevel="0" collapsed="false">
      <c r="A111" s="44" t="n">
        <v>82</v>
      </c>
      <c r="B111" s="38"/>
      <c r="C111" s="48"/>
      <c r="D111" s="45"/>
      <c r="E111" s="53"/>
      <c r="F111" s="51"/>
      <c r="G111" s="55"/>
      <c r="H111" s="55"/>
      <c r="I111" s="49"/>
      <c r="J111" s="49"/>
      <c r="K111" s="49"/>
    </row>
    <row r="112" customFormat="false" ht="12" hidden="false" customHeight="true" outlineLevel="0" collapsed="false">
      <c r="A112" s="44" t="n">
        <v>83</v>
      </c>
      <c r="B112" s="38"/>
      <c r="C112" s="48"/>
      <c r="D112" s="45"/>
      <c r="E112" s="53"/>
      <c r="F112" s="51"/>
      <c r="G112" s="55"/>
      <c r="H112" s="55"/>
      <c r="I112" s="49"/>
      <c r="J112" s="49"/>
      <c r="K112" s="49"/>
    </row>
    <row r="113" customFormat="false" ht="12" hidden="false" customHeight="true" outlineLevel="0" collapsed="false">
      <c r="A113" s="44" t="n">
        <v>84</v>
      </c>
      <c r="B113" s="38"/>
      <c r="C113" s="48"/>
      <c r="D113" s="45"/>
      <c r="E113" s="53"/>
      <c r="F113" s="51"/>
      <c r="G113" s="55"/>
      <c r="H113" s="55"/>
      <c r="I113" s="49"/>
      <c r="J113" s="49"/>
      <c r="K113" s="49"/>
    </row>
    <row r="114" customFormat="false" ht="12" hidden="false" customHeight="true" outlineLevel="0" collapsed="false">
      <c r="A114" s="44" t="n">
        <v>85</v>
      </c>
      <c r="B114" s="38"/>
      <c r="C114" s="48"/>
      <c r="D114" s="45"/>
      <c r="E114" s="53"/>
      <c r="F114" s="51"/>
      <c r="G114" s="55"/>
      <c r="H114" s="55"/>
      <c r="I114" s="49"/>
      <c r="J114" s="49"/>
      <c r="K114" s="49"/>
    </row>
    <row r="115" customFormat="false" ht="12" hidden="false" customHeight="true" outlineLevel="0" collapsed="false">
      <c r="A115" s="44" t="n">
        <v>86</v>
      </c>
      <c r="B115" s="38"/>
      <c r="C115" s="48"/>
      <c r="D115" s="45"/>
      <c r="E115" s="53"/>
      <c r="F115" s="51"/>
      <c r="G115" s="55"/>
      <c r="H115" s="55"/>
      <c r="I115" s="49"/>
      <c r="J115" s="49"/>
      <c r="K115" s="49"/>
    </row>
    <row r="116" customFormat="false" ht="12" hidden="false" customHeight="true" outlineLevel="0" collapsed="false">
      <c r="A116" s="44" t="n">
        <v>87</v>
      </c>
      <c r="B116" s="38"/>
      <c r="C116" s="48"/>
      <c r="D116" s="45"/>
      <c r="E116" s="53"/>
      <c r="F116" s="51"/>
      <c r="G116" s="55"/>
      <c r="H116" s="55"/>
      <c r="I116" s="49"/>
      <c r="J116" s="49"/>
      <c r="K116" s="49"/>
    </row>
    <row r="117" customFormat="false" ht="12" hidden="false" customHeight="true" outlineLevel="0" collapsed="false">
      <c r="A117" s="44" t="n">
        <v>88</v>
      </c>
      <c r="B117" s="38"/>
      <c r="C117" s="48"/>
      <c r="D117" s="45"/>
      <c r="E117" s="53"/>
      <c r="F117" s="51"/>
      <c r="G117" s="55"/>
      <c r="H117" s="55"/>
      <c r="I117" s="49"/>
      <c r="J117" s="49"/>
      <c r="K117" s="49"/>
    </row>
    <row r="118" customFormat="false" ht="12" hidden="false" customHeight="true" outlineLevel="0" collapsed="false">
      <c r="A118" s="44" t="n">
        <v>89</v>
      </c>
      <c r="B118" s="38"/>
      <c r="C118" s="48"/>
      <c r="D118" s="45"/>
      <c r="E118" s="53"/>
      <c r="F118" s="51"/>
      <c r="G118" s="55"/>
      <c r="H118" s="55"/>
      <c r="I118" s="49"/>
      <c r="J118" s="49"/>
      <c r="K118" s="49"/>
    </row>
    <row r="119" customFormat="false" ht="12" hidden="false" customHeight="true" outlineLevel="0" collapsed="false">
      <c r="A119" s="44" t="n">
        <v>90</v>
      </c>
      <c r="B119" s="38"/>
      <c r="C119" s="48"/>
      <c r="D119" s="45"/>
      <c r="E119" s="53"/>
      <c r="F119" s="51"/>
      <c r="G119" s="55"/>
      <c r="H119" s="55"/>
      <c r="I119" s="49"/>
      <c r="J119" s="49"/>
      <c r="K119" s="49"/>
    </row>
    <row r="120" customFormat="false" ht="12" hidden="false" customHeight="true" outlineLevel="0" collapsed="false">
      <c r="A120" s="44" t="n">
        <v>91</v>
      </c>
      <c r="B120" s="38"/>
      <c r="C120" s="48"/>
      <c r="D120" s="45"/>
      <c r="E120" s="53"/>
      <c r="F120" s="51"/>
      <c r="G120" s="55"/>
      <c r="H120" s="55"/>
      <c r="I120" s="49"/>
      <c r="J120" s="49"/>
      <c r="K120" s="49"/>
    </row>
    <row r="121" customFormat="false" ht="12" hidden="false" customHeight="true" outlineLevel="0" collapsed="false">
      <c r="A121" s="44" t="n">
        <v>92</v>
      </c>
      <c r="B121" s="38"/>
      <c r="C121" s="48"/>
      <c r="D121" s="45"/>
      <c r="E121" s="53"/>
      <c r="F121" s="51"/>
      <c r="G121" s="55"/>
      <c r="H121" s="55"/>
      <c r="I121" s="49"/>
      <c r="J121" s="49"/>
      <c r="K121" s="49"/>
    </row>
    <row r="122" customFormat="false" ht="12" hidden="false" customHeight="true" outlineLevel="0" collapsed="false">
      <c r="A122" s="44" t="n">
        <v>93</v>
      </c>
      <c r="B122" s="38"/>
      <c r="C122" s="48"/>
      <c r="D122" s="45"/>
      <c r="E122" s="53"/>
      <c r="F122" s="51"/>
      <c r="G122" s="55"/>
      <c r="H122" s="55"/>
      <c r="I122" s="49"/>
      <c r="J122" s="49"/>
      <c r="K122" s="49"/>
    </row>
    <row r="123" customFormat="false" ht="12" hidden="false" customHeight="true" outlineLevel="0" collapsed="false">
      <c r="A123" s="44" t="n">
        <v>94</v>
      </c>
      <c r="B123" s="38"/>
      <c r="C123" s="48"/>
      <c r="D123" s="45"/>
      <c r="E123" s="53"/>
      <c r="F123" s="51"/>
      <c r="G123" s="55"/>
      <c r="H123" s="55"/>
      <c r="I123" s="49"/>
      <c r="J123" s="49"/>
      <c r="K123" s="49"/>
    </row>
    <row r="124" customFormat="false" ht="12" hidden="false" customHeight="true" outlineLevel="0" collapsed="false">
      <c r="A124" s="44" t="n">
        <v>95</v>
      </c>
      <c r="B124" s="38"/>
      <c r="C124" s="48"/>
      <c r="D124" s="45"/>
      <c r="E124" s="53"/>
      <c r="F124" s="51"/>
      <c r="G124" s="55"/>
      <c r="H124" s="55"/>
      <c r="I124" s="49"/>
      <c r="J124" s="49"/>
      <c r="K124" s="49"/>
    </row>
    <row r="125" customFormat="false" ht="12" hidden="false" customHeight="true" outlineLevel="0" collapsed="false">
      <c r="A125" s="44" t="n">
        <v>96</v>
      </c>
      <c r="B125" s="38"/>
      <c r="C125" s="48"/>
      <c r="D125" s="45"/>
      <c r="E125" s="53"/>
      <c r="F125" s="51"/>
      <c r="G125" s="55"/>
      <c r="H125" s="55"/>
      <c r="I125" s="49"/>
      <c r="J125" s="49"/>
      <c r="K125" s="49"/>
    </row>
    <row r="126" customFormat="false" ht="12" hidden="false" customHeight="true" outlineLevel="0" collapsed="false">
      <c r="A126" s="44" t="n">
        <v>97</v>
      </c>
      <c r="B126" s="38"/>
      <c r="C126" s="48"/>
      <c r="D126" s="45"/>
      <c r="E126" s="53"/>
      <c r="F126" s="51"/>
      <c r="G126" s="55"/>
      <c r="H126" s="55"/>
      <c r="I126" s="49"/>
      <c r="J126" s="49"/>
      <c r="K126" s="49"/>
    </row>
    <row r="127" customFormat="false" ht="12" hidden="false" customHeight="true" outlineLevel="0" collapsed="false">
      <c r="A127" s="44" t="n">
        <v>98</v>
      </c>
      <c r="B127" s="38"/>
      <c r="C127" s="48"/>
      <c r="D127" s="45"/>
      <c r="E127" s="53"/>
      <c r="F127" s="51"/>
      <c r="G127" s="55"/>
      <c r="H127" s="55"/>
      <c r="I127" s="49"/>
      <c r="J127" s="49"/>
      <c r="K127" s="49"/>
    </row>
    <row r="128" customFormat="false" ht="12" hidden="false" customHeight="true" outlineLevel="0" collapsed="false">
      <c r="A128" s="44" t="n">
        <v>99</v>
      </c>
      <c r="B128" s="38"/>
      <c r="C128" s="48"/>
      <c r="D128" s="45"/>
      <c r="E128" s="53"/>
      <c r="F128" s="51"/>
      <c r="G128" s="55"/>
      <c r="H128" s="55"/>
      <c r="I128" s="49"/>
      <c r="J128" s="49"/>
      <c r="K128" s="49"/>
    </row>
    <row r="129" customFormat="false" ht="12" hidden="false" customHeight="true" outlineLevel="0" collapsed="false">
      <c r="A129" s="44" t="n">
        <v>100</v>
      </c>
      <c r="B129" s="38"/>
      <c r="C129" s="48"/>
      <c r="D129" s="45"/>
      <c r="E129" s="53"/>
      <c r="F129" s="51"/>
      <c r="G129" s="55"/>
      <c r="H129" s="55"/>
      <c r="I129" s="49"/>
      <c r="J129" s="49"/>
      <c r="K129" s="49"/>
    </row>
    <row r="130" customFormat="false" ht="12" hidden="false" customHeight="true" outlineLevel="0" collapsed="false">
      <c r="A130" s="44" t="n">
        <v>101</v>
      </c>
      <c r="B130" s="38"/>
      <c r="C130" s="48"/>
      <c r="D130" s="45"/>
      <c r="E130" s="53"/>
      <c r="F130" s="51"/>
      <c r="G130" s="55"/>
      <c r="H130" s="55"/>
      <c r="I130" s="49"/>
      <c r="J130" s="49"/>
      <c r="K130" s="49"/>
    </row>
    <row r="131" customFormat="false" ht="12" hidden="false" customHeight="true" outlineLevel="0" collapsed="false">
      <c r="A131" s="44" t="n">
        <v>102</v>
      </c>
      <c r="B131" s="38"/>
      <c r="C131" s="48"/>
      <c r="D131" s="45"/>
      <c r="E131" s="53"/>
      <c r="F131" s="51"/>
      <c r="G131" s="55"/>
      <c r="H131" s="55"/>
      <c r="I131" s="49"/>
      <c r="J131" s="49"/>
      <c r="K131" s="49"/>
    </row>
    <row r="132" customFormat="false" ht="12" hidden="false" customHeight="true" outlineLevel="0" collapsed="false">
      <c r="A132" s="44" t="n">
        <v>103</v>
      </c>
      <c r="B132" s="38"/>
      <c r="C132" s="48"/>
      <c r="D132" s="45"/>
      <c r="E132" s="53"/>
      <c r="F132" s="51"/>
      <c r="G132" s="55"/>
      <c r="H132" s="55"/>
      <c r="I132" s="49"/>
      <c r="J132" s="49"/>
      <c r="K132" s="49"/>
    </row>
    <row r="133" customFormat="false" ht="12" hidden="false" customHeight="true" outlineLevel="0" collapsed="false">
      <c r="A133" s="44" t="n">
        <v>104</v>
      </c>
      <c r="B133" s="38"/>
      <c r="C133" s="48"/>
      <c r="D133" s="45"/>
      <c r="E133" s="53"/>
      <c r="F133" s="51"/>
      <c r="G133" s="55"/>
      <c r="H133" s="55"/>
      <c r="I133" s="49"/>
      <c r="J133" s="49"/>
      <c r="K133" s="49"/>
    </row>
    <row r="134" customFormat="false" ht="12" hidden="false" customHeight="true" outlineLevel="0" collapsed="false">
      <c r="A134" s="44" t="n">
        <v>105</v>
      </c>
      <c r="B134" s="38"/>
      <c r="C134" s="48"/>
      <c r="D134" s="45"/>
      <c r="E134" s="53"/>
      <c r="F134" s="51"/>
      <c r="G134" s="55"/>
      <c r="H134" s="55"/>
      <c r="I134" s="49"/>
      <c r="J134" s="49"/>
      <c r="K134" s="49"/>
    </row>
    <row r="135" customFormat="false" ht="12" hidden="false" customHeight="true" outlineLevel="0" collapsed="false">
      <c r="A135" s="44" t="n">
        <v>106</v>
      </c>
      <c r="B135" s="38"/>
      <c r="C135" s="48"/>
      <c r="D135" s="45"/>
      <c r="E135" s="53"/>
      <c r="F135" s="51"/>
      <c r="G135" s="55"/>
      <c r="H135" s="55"/>
      <c r="I135" s="49"/>
      <c r="J135" s="49"/>
      <c r="K135" s="49"/>
    </row>
    <row r="136" customFormat="false" ht="12" hidden="false" customHeight="true" outlineLevel="0" collapsed="false">
      <c r="A136" s="44" t="n">
        <v>107</v>
      </c>
      <c r="B136" s="38"/>
      <c r="C136" s="48"/>
      <c r="D136" s="45"/>
      <c r="E136" s="53"/>
      <c r="F136" s="51"/>
      <c r="G136" s="55"/>
      <c r="H136" s="55"/>
      <c r="I136" s="49"/>
      <c r="J136" s="49"/>
      <c r="K136" s="49"/>
    </row>
    <row r="137" customFormat="false" ht="12" hidden="false" customHeight="true" outlineLevel="0" collapsed="false">
      <c r="A137" s="44" t="n">
        <v>108</v>
      </c>
      <c r="B137" s="38"/>
      <c r="C137" s="48"/>
      <c r="D137" s="45"/>
      <c r="E137" s="53"/>
      <c r="F137" s="51"/>
      <c r="G137" s="55"/>
      <c r="H137" s="55"/>
      <c r="I137" s="49"/>
      <c r="J137" s="49"/>
      <c r="K137" s="49"/>
    </row>
    <row r="138" customFormat="false" ht="12" hidden="false" customHeight="true" outlineLevel="0" collapsed="false">
      <c r="A138" s="44" t="n">
        <v>109</v>
      </c>
      <c r="B138" s="38"/>
      <c r="C138" s="48"/>
      <c r="D138" s="45"/>
      <c r="E138" s="53"/>
      <c r="F138" s="51"/>
      <c r="G138" s="55"/>
      <c r="H138" s="55"/>
      <c r="I138" s="49"/>
      <c r="J138" s="49"/>
      <c r="K138" s="49"/>
    </row>
    <row r="139" customFormat="false" ht="12" hidden="false" customHeight="true" outlineLevel="0" collapsed="false">
      <c r="A139" s="44" t="n">
        <v>110</v>
      </c>
      <c r="B139" s="38"/>
      <c r="C139" s="48"/>
      <c r="D139" s="45"/>
      <c r="E139" s="53"/>
      <c r="F139" s="51"/>
      <c r="G139" s="55"/>
      <c r="H139" s="55"/>
      <c r="I139" s="49"/>
      <c r="J139" s="49"/>
      <c r="K139" s="49"/>
    </row>
    <row r="140" customFormat="false" ht="12" hidden="false" customHeight="true" outlineLevel="0" collapsed="false">
      <c r="A140" s="44" t="n">
        <v>111</v>
      </c>
      <c r="B140" s="38"/>
      <c r="C140" s="48"/>
      <c r="D140" s="45"/>
      <c r="E140" s="53"/>
      <c r="F140" s="51"/>
      <c r="G140" s="55"/>
      <c r="H140" s="55"/>
      <c r="I140" s="49"/>
      <c r="J140" s="49"/>
      <c r="K140" s="49"/>
    </row>
    <row r="141" customFormat="false" ht="12" hidden="false" customHeight="true" outlineLevel="0" collapsed="false">
      <c r="A141" s="44" t="n">
        <v>112</v>
      </c>
      <c r="B141" s="38"/>
      <c r="C141" s="48"/>
      <c r="D141" s="45"/>
      <c r="E141" s="53"/>
      <c r="F141" s="51"/>
      <c r="G141" s="55"/>
      <c r="H141" s="55"/>
      <c r="I141" s="49"/>
      <c r="J141" s="49"/>
      <c r="K141" s="49"/>
    </row>
    <row r="142" customFormat="false" ht="12" hidden="false" customHeight="true" outlineLevel="0" collapsed="false">
      <c r="A142" s="44" t="n">
        <v>113</v>
      </c>
      <c r="B142" s="38"/>
      <c r="C142" s="48"/>
      <c r="D142" s="45"/>
      <c r="E142" s="53"/>
      <c r="F142" s="51"/>
      <c r="G142" s="55"/>
      <c r="H142" s="55"/>
      <c r="I142" s="49"/>
      <c r="J142" s="49"/>
      <c r="K142" s="49"/>
    </row>
    <row r="143" customFormat="false" ht="12" hidden="false" customHeight="true" outlineLevel="0" collapsed="false">
      <c r="A143" s="44" t="n">
        <v>114</v>
      </c>
      <c r="B143" s="38"/>
      <c r="C143" s="48"/>
      <c r="D143" s="45"/>
      <c r="E143" s="53"/>
      <c r="F143" s="51"/>
      <c r="G143" s="55"/>
      <c r="H143" s="55"/>
      <c r="I143" s="49"/>
      <c r="J143" s="49"/>
      <c r="K143" s="49"/>
    </row>
    <row r="144" customFormat="false" ht="12" hidden="false" customHeight="true" outlineLevel="0" collapsed="false">
      <c r="A144" s="44" t="n">
        <v>115</v>
      </c>
      <c r="B144" s="38"/>
      <c r="C144" s="48"/>
      <c r="D144" s="45"/>
      <c r="E144" s="53"/>
      <c r="F144" s="51"/>
      <c r="G144" s="55"/>
      <c r="H144" s="55"/>
      <c r="I144" s="49"/>
      <c r="J144" s="49"/>
      <c r="K144" s="49"/>
    </row>
    <row r="145" customFormat="false" ht="12" hidden="false" customHeight="true" outlineLevel="0" collapsed="false">
      <c r="A145" s="44" t="n">
        <v>116</v>
      </c>
      <c r="B145" s="38"/>
      <c r="C145" s="48"/>
      <c r="D145" s="45"/>
      <c r="E145" s="53"/>
      <c r="F145" s="51"/>
      <c r="G145" s="55"/>
      <c r="H145" s="55"/>
      <c r="I145" s="49"/>
      <c r="J145" s="49"/>
      <c r="K145" s="49"/>
    </row>
    <row r="146" customFormat="false" ht="12" hidden="false" customHeight="true" outlineLevel="0" collapsed="false">
      <c r="A146" s="44" t="n">
        <v>117</v>
      </c>
      <c r="B146" s="38"/>
      <c r="C146" s="48"/>
      <c r="D146" s="45"/>
      <c r="E146" s="53"/>
      <c r="F146" s="51"/>
      <c r="G146" s="55"/>
      <c r="H146" s="55"/>
      <c r="I146" s="49"/>
      <c r="J146" s="49"/>
      <c r="K146" s="49"/>
    </row>
    <row r="147" customFormat="false" ht="12" hidden="false" customHeight="true" outlineLevel="0" collapsed="false">
      <c r="A147" s="44" t="n">
        <v>118</v>
      </c>
      <c r="B147" s="38"/>
      <c r="C147" s="48"/>
      <c r="D147" s="45"/>
      <c r="E147" s="53"/>
      <c r="F147" s="51"/>
      <c r="G147" s="55"/>
      <c r="H147" s="55"/>
      <c r="I147" s="49"/>
      <c r="J147" s="49"/>
      <c r="K147" s="49"/>
    </row>
    <row r="148" customFormat="false" ht="12" hidden="false" customHeight="true" outlineLevel="0" collapsed="false">
      <c r="A148" s="44" t="n">
        <v>119</v>
      </c>
      <c r="B148" s="38"/>
      <c r="C148" s="48"/>
      <c r="D148" s="45"/>
      <c r="E148" s="53"/>
      <c r="F148" s="51"/>
      <c r="G148" s="55"/>
      <c r="H148" s="55"/>
      <c r="I148" s="49"/>
      <c r="J148" s="49"/>
      <c r="K148" s="49"/>
    </row>
    <row r="149" customFormat="false" ht="12" hidden="false" customHeight="true" outlineLevel="0" collapsed="false">
      <c r="A149" s="44" t="n">
        <v>120</v>
      </c>
      <c r="B149" s="38"/>
      <c r="C149" s="48"/>
      <c r="D149" s="45"/>
      <c r="E149" s="53"/>
      <c r="F149" s="51"/>
      <c r="G149" s="55"/>
      <c r="H149" s="55"/>
      <c r="I149" s="49"/>
      <c r="J149" s="49"/>
      <c r="K149" s="49"/>
    </row>
    <row r="150" customFormat="false" ht="12" hidden="false" customHeight="true" outlineLevel="0" collapsed="false">
      <c r="A150" s="44" t="n">
        <v>121</v>
      </c>
      <c r="B150" s="38"/>
      <c r="C150" s="48"/>
      <c r="D150" s="45"/>
      <c r="E150" s="53"/>
      <c r="F150" s="51"/>
      <c r="G150" s="55"/>
      <c r="H150" s="55"/>
      <c r="I150" s="49"/>
      <c r="J150" s="49"/>
      <c r="K150" s="49"/>
    </row>
    <row r="151" customFormat="false" ht="12" hidden="false" customHeight="true" outlineLevel="0" collapsed="false">
      <c r="A151" s="44" t="n">
        <v>122</v>
      </c>
      <c r="B151" s="38"/>
      <c r="C151" s="48"/>
      <c r="D151" s="45"/>
      <c r="E151" s="53"/>
      <c r="F151" s="51"/>
      <c r="G151" s="55"/>
      <c r="H151" s="55"/>
      <c r="I151" s="49"/>
      <c r="J151" s="49"/>
      <c r="K151" s="49"/>
    </row>
    <row r="152" customFormat="false" ht="12" hidden="false" customHeight="true" outlineLevel="0" collapsed="false">
      <c r="A152" s="44" t="n">
        <v>123</v>
      </c>
      <c r="B152" s="38"/>
      <c r="C152" s="48"/>
      <c r="D152" s="45"/>
      <c r="E152" s="53"/>
      <c r="F152" s="51"/>
      <c r="G152" s="55"/>
      <c r="H152" s="55"/>
      <c r="I152" s="49"/>
      <c r="J152" s="49"/>
      <c r="K152" s="49"/>
    </row>
    <row r="153" customFormat="false" ht="12" hidden="false" customHeight="true" outlineLevel="0" collapsed="false">
      <c r="A153" s="44" t="n">
        <v>124</v>
      </c>
      <c r="B153" s="38"/>
      <c r="C153" s="48"/>
      <c r="D153" s="45"/>
      <c r="E153" s="53"/>
      <c r="F153" s="51"/>
      <c r="G153" s="55"/>
      <c r="H153" s="55"/>
      <c r="I153" s="49"/>
      <c r="J153" s="49"/>
      <c r="K153" s="49"/>
    </row>
    <row r="154" customFormat="false" ht="12" hidden="false" customHeight="true" outlineLevel="0" collapsed="false">
      <c r="A154" s="44" t="n">
        <v>125</v>
      </c>
      <c r="B154" s="38"/>
      <c r="C154" s="48"/>
      <c r="D154" s="45"/>
      <c r="E154" s="53"/>
      <c r="F154" s="51"/>
      <c r="G154" s="55"/>
      <c r="H154" s="55"/>
      <c r="I154" s="49"/>
      <c r="J154" s="49"/>
      <c r="K154" s="49"/>
    </row>
    <row r="155" customFormat="false" ht="12" hidden="false" customHeight="true" outlineLevel="0" collapsed="false">
      <c r="A155" s="44" t="n">
        <v>126</v>
      </c>
      <c r="B155" s="38"/>
      <c r="C155" s="48"/>
      <c r="D155" s="45"/>
      <c r="E155" s="53"/>
      <c r="F155" s="51"/>
      <c r="G155" s="55"/>
      <c r="H155" s="55"/>
      <c r="I155" s="49"/>
      <c r="J155" s="49"/>
      <c r="K155" s="49"/>
    </row>
    <row r="156" customFormat="false" ht="12" hidden="false" customHeight="true" outlineLevel="0" collapsed="false">
      <c r="A156" s="44" t="n">
        <v>127</v>
      </c>
      <c r="B156" s="38"/>
      <c r="C156" s="48"/>
      <c r="D156" s="45"/>
      <c r="E156" s="53"/>
      <c r="F156" s="51"/>
      <c r="G156" s="55"/>
      <c r="H156" s="55"/>
      <c r="I156" s="49"/>
      <c r="J156" s="49"/>
      <c r="K156" s="49"/>
    </row>
    <row r="157" customFormat="false" ht="12" hidden="false" customHeight="true" outlineLevel="0" collapsed="false">
      <c r="A157" s="44" t="n">
        <v>128</v>
      </c>
      <c r="B157" s="38"/>
      <c r="C157" s="48"/>
      <c r="D157" s="45"/>
      <c r="E157" s="53"/>
      <c r="F157" s="51"/>
      <c r="G157" s="55"/>
      <c r="H157" s="55"/>
      <c r="I157" s="49"/>
      <c r="J157" s="49"/>
      <c r="K157" s="49"/>
    </row>
    <row r="158" customFormat="false" ht="12" hidden="false" customHeight="true" outlineLevel="0" collapsed="false">
      <c r="A158" s="44" t="n">
        <v>129</v>
      </c>
      <c r="B158" s="38"/>
      <c r="C158" s="48"/>
      <c r="D158" s="45"/>
      <c r="E158" s="53"/>
      <c r="F158" s="51"/>
      <c r="G158" s="55"/>
      <c r="H158" s="55"/>
      <c r="I158" s="49"/>
      <c r="J158" s="49"/>
      <c r="K158" s="49"/>
    </row>
    <row r="159" customFormat="false" ht="12" hidden="false" customHeight="true" outlineLevel="0" collapsed="false">
      <c r="A159" s="44" t="n">
        <v>130</v>
      </c>
      <c r="B159" s="38"/>
      <c r="C159" s="48"/>
      <c r="D159" s="45"/>
      <c r="E159" s="53"/>
      <c r="F159" s="51"/>
      <c r="G159" s="55"/>
      <c r="H159" s="55"/>
      <c r="I159" s="49"/>
      <c r="J159" s="49"/>
      <c r="K159" s="49"/>
    </row>
    <row r="160" customFormat="false" ht="12" hidden="false" customHeight="true" outlineLevel="0" collapsed="false">
      <c r="A160" s="44" t="n">
        <v>131</v>
      </c>
      <c r="B160" s="38"/>
      <c r="C160" s="48"/>
      <c r="D160" s="45"/>
      <c r="E160" s="53"/>
      <c r="F160" s="51"/>
      <c r="G160" s="55"/>
      <c r="H160" s="55"/>
      <c r="I160" s="49"/>
      <c r="J160" s="49"/>
      <c r="K160" s="49"/>
    </row>
    <row r="161" customFormat="false" ht="12" hidden="false" customHeight="true" outlineLevel="0" collapsed="false">
      <c r="A161" s="44" t="n">
        <v>132</v>
      </c>
      <c r="B161" s="38"/>
      <c r="C161" s="48"/>
      <c r="D161" s="45"/>
      <c r="E161" s="53"/>
      <c r="F161" s="51"/>
      <c r="G161" s="55"/>
      <c r="H161" s="55"/>
      <c r="I161" s="49"/>
      <c r="J161" s="49"/>
      <c r="K161" s="49"/>
    </row>
    <row r="162" customFormat="false" ht="12" hidden="false" customHeight="true" outlineLevel="0" collapsed="false">
      <c r="A162" s="44" t="n">
        <v>133</v>
      </c>
      <c r="B162" s="38"/>
      <c r="C162" s="48"/>
      <c r="D162" s="45"/>
      <c r="E162" s="53"/>
      <c r="F162" s="51"/>
      <c r="G162" s="55"/>
      <c r="H162" s="55"/>
      <c r="I162" s="49"/>
      <c r="J162" s="49"/>
      <c r="K162" s="49"/>
    </row>
    <row r="163" customFormat="false" ht="12" hidden="false" customHeight="true" outlineLevel="0" collapsed="false">
      <c r="A163" s="44" t="n">
        <v>134</v>
      </c>
      <c r="B163" s="38"/>
      <c r="C163" s="48"/>
      <c r="D163" s="45"/>
      <c r="E163" s="53"/>
      <c r="F163" s="51"/>
      <c r="G163" s="55"/>
      <c r="H163" s="55"/>
      <c r="I163" s="49"/>
      <c r="J163" s="49"/>
      <c r="K163" s="49"/>
    </row>
    <row r="164" customFormat="false" ht="12" hidden="false" customHeight="true" outlineLevel="0" collapsed="false">
      <c r="A164" s="44" t="n">
        <v>135</v>
      </c>
      <c r="B164" s="38"/>
      <c r="C164" s="48"/>
      <c r="D164" s="45"/>
      <c r="E164" s="53"/>
      <c r="F164" s="51"/>
      <c r="G164" s="55"/>
      <c r="H164" s="55"/>
      <c r="I164" s="49"/>
      <c r="J164" s="49"/>
      <c r="K164" s="49"/>
    </row>
    <row r="165" customFormat="false" ht="12" hidden="false" customHeight="true" outlineLevel="0" collapsed="false">
      <c r="A165" s="44" t="n">
        <v>136</v>
      </c>
      <c r="B165" s="38"/>
      <c r="C165" s="48"/>
      <c r="D165" s="45"/>
      <c r="E165" s="53"/>
      <c r="F165" s="51"/>
      <c r="G165" s="55"/>
      <c r="H165" s="55"/>
      <c r="I165" s="49"/>
      <c r="J165" s="49"/>
      <c r="K165" s="49"/>
    </row>
    <row r="166" customFormat="false" ht="12" hidden="false" customHeight="true" outlineLevel="0" collapsed="false">
      <c r="A166" s="44" t="n">
        <v>137</v>
      </c>
      <c r="B166" s="38"/>
      <c r="C166" s="48"/>
      <c r="D166" s="45"/>
      <c r="E166" s="53"/>
      <c r="F166" s="51"/>
      <c r="G166" s="55"/>
      <c r="H166" s="55"/>
      <c r="I166" s="49"/>
      <c r="J166" s="49"/>
      <c r="K166" s="49"/>
    </row>
    <row r="167" customFormat="false" ht="12" hidden="false" customHeight="true" outlineLevel="0" collapsed="false">
      <c r="A167" s="44" t="n">
        <v>138</v>
      </c>
      <c r="B167" s="38"/>
      <c r="C167" s="48"/>
      <c r="D167" s="45"/>
      <c r="E167" s="53"/>
      <c r="F167" s="51"/>
      <c r="G167" s="55"/>
      <c r="H167" s="55"/>
      <c r="I167" s="49"/>
      <c r="J167" s="49"/>
      <c r="K167" s="49"/>
    </row>
    <row r="168" customFormat="false" ht="12" hidden="false" customHeight="true" outlineLevel="0" collapsed="false">
      <c r="A168" s="44" t="n">
        <v>139</v>
      </c>
      <c r="B168" s="38"/>
      <c r="C168" s="48"/>
      <c r="D168" s="45"/>
      <c r="E168" s="53"/>
      <c r="F168" s="51"/>
      <c r="G168" s="55"/>
      <c r="H168" s="55"/>
      <c r="I168" s="49"/>
      <c r="J168" s="49"/>
      <c r="K168" s="49"/>
    </row>
    <row r="169" customFormat="false" ht="12" hidden="false" customHeight="true" outlineLevel="0" collapsed="false">
      <c r="A169" s="44" t="n">
        <v>140</v>
      </c>
      <c r="B169" s="38"/>
      <c r="C169" s="48"/>
      <c r="D169" s="45"/>
      <c r="E169" s="53"/>
      <c r="F169" s="51"/>
      <c r="G169" s="55"/>
      <c r="H169" s="55"/>
      <c r="I169" s="49"/>
      <c r="J169" s="49"/>
      <c r="K169" s="49"/>
    </row>
    <row r="170" customFormat="false" ht="12" hidden="false" customHeight="true" outlineLevel="0" collapsed="false">
      <c r="A170" s="44" t="n">
        <v>141</v>
      </c>
      <c r="B170" s="38"/>
      <c r="C170" s="48"/>
      <c r="D170" s="45"/>
      <c r="E170" s="53"/>
      <c r="F170" s="51"/>
      <c r="G170" s="55"/>
      <c r="H170" s="55"/>
      <c r="I170" s="49"/>
      <c r="J170" s="49"/>
      <c r="K170" s="49"/>
    </row>
    <row r="171" customFormat="false" ht="12" hidden="false" customHeight="true" outlineLevel="0" collapsed="false">
      <c r="A171" s="44" t="n">
        <v>142</v>
      </c>
      <c r="B171" s="38"/>
      <c r="C171" s="48"/>
      <c r="D171" s="45"/>
      <c r="E171" s="53"/>
      <c r="F171" s="51"/>
      <c r="G171" s="55"/>
      <c r="H171" s="55"/>
      <c r="I171" s="49"/>
      <c r="J171" s="49"/>
      <c r="K171" s="49"/>
    </row>
    <row r="172" customFormat="false" ht="12" hidden="false" customHeight="true" outlineLevel="0" collapsed="false">
      <c r="A172" s="44" t="n">
        <v>143</v>
      </c>
      <c r="B172" s="38"/>
      <c r="C172" s="48"/>
      <c r="D172" s="45"/>
      <c r="E172" s="53"/>
      <c r="F172" s="51"/>
      <c r="G172" s="55"/>
      <c r="H172" s="55"/>
      <c r="I172" s="49"/>
      <c r="J172" s="49"/>
      <c r="K172" s="49"/>
    </row>
    <row r="173" customFormat="false" ht="12" hidden="false" customHeight="true" outlineLevel="0" collapsed="false">
      <c r="A173" s="44" t="n">
        <v>144</v>
      </c>
      <c r="B173" s="38"/>
      <c r="C173" s="48"/>
      <c r="D173" s="45"/>
      <c r="E173" s="53"/>
      <c r="F173" s="51"/>
      <c r="G173" s="55"/>
      <c r="H173" s="55"/>
      <c r="I173" s="49"/>
      <c r="J173" s="49"/>
      <c r="K173" s="49"/>
    </row>
    <row r="174" customFormat="false" ht="12" hidden="false" customHeight="true" outlineLevel="0" collapsed="false">
      <c r="A174" s="44" t="n">
        <v>145</v>
      </c>
      <c r="B174" s="38"/>
      <c r="C174" s="48"/>
      <c r="D174" s="45"/>
      <c r="E174" s="53"/>
      <c r="F174" s="51"/>
      <c r="G174" s="55"/>
      <c r="H174" s="55"/>
      <c r="I174" s="49"/>
      <c r="J174" s="49"/>
      <c r="K174" s="49"/>
    </row>
    <row r="175" customFormat="false" ht="12" hidden="false" customHeight="true" outlineLevel="0" collapsed="false">
      <c r="A175" s="44" t="n">
        <v>146</v>
      </c>
      <c r="B175" s="38"/>
      <c r="C175" s="48"/>
      <c r="D175" s="45"/>
      <c r="E175" s="53"/>
      <c r="F175" s="51"/>
      <c r="G175" s="55"/>
      <c r="H175" s="55"/>
      <c r="I175" s="49"/>
      <c r="J175" s="49"/>
      <c r="K175" s="49"/>
    </row>
    <row r="176" customFormat="false" ht="12" hidden="false" customHeight="true" outlineLevel="0" collapsed="false">
      <c r="A176" s="44" t="n">
        <v>147</v>
      </c>
      <c r="B176" s="38"/>
      <c r="C176" s="48"/>
      <c r="D176" s="45"/>
      <c r="E176" s="53"/>
      <c r="F176" s="51"/>
      <c r="G176" s="55"/>
      <c r="H176" s="55"/>
      <c r="I176" s="49"/>
      <c r="J176" s="49"/>
      <c r="K176" s="49"/>
    </row>
    <row r="177" customFormat="false" ht="12" hidden="false" customHeight="true" outlineLevel="0" collapsed="false">
      <c r="A177" s="44" t="n">
        <v>148</v>
      </c>
      <c r="B177" s="38"/>
      <c r="C177" s="48"/>
      <c r="D177" s="45"/>
      <c r="E177" s="53"/>
      <c r="F177" s="51"/>
      <c r="G177" s="55"/>
      <c r="H177" s="55"/>
      <c r="I177" s="49"/>
      <c r="J177" s="49"/>
      <c r="K177" s="49"/>
    </row>
    <row r="178" customFormat="false" ht="12" hidden="false" customHeight="true" outlineLevel="0" collapsed="false">
      <c r="A178" s="44" t="n">
        <v>149</v>
      </c>
      <c r="B178" s="38"/>
      <c r="C178" s="48"/>
      <c r="D178" s="45"/>
      <c r="E178" s="53"/>
      <c r="F178" s="51"/>
      <c r="G178" s="55"/>
      <c r="H178" s="55"/>
      <c r="I178" s="49"/>
      <c r="J178" s="49"/>
      <c r="K178" s="49"/>
    </row>
    <row r="179" customFormat="false" ht="12" hidden="false" customHeight="true" outlineLevel="0" collapsed="false">
      <c r="A179" s="44" t="n">
        <v>150</v>
      </c>
      <c r="B179" s="38"/>
      <c r="C179" s="48"/>
      <c r="D179" s="45"/>
      <c r="E179" s="53"/>
      <c r="F179" s="51"/>
      <c r="G179" s="55"/>
      <c r="H179" s="55"/>
      <c r="I179" s="49"/>
      <c r="J179" s="49"/>
      <c r="K179" s="49"/>
    </row>
    <row r="180" customFormat="false" ht="12" hidden="false" customHeight="true" outlineLevel="0" collapsed="false">
      <c r="A180" s="44" t="n">
        <v>151</v>
      </c>
      <c r="B180" s="38"/>
      <c r="C180" s="48"/>
      <c r="D180" s="45"/>
      <c r="E180" s="53"/>
      <c r="F180" s="51"/>
      <c r="G180" s="55"/>
      <c r="H180" s="55"/>
      <c r="I180" s="49"/>
      <c r="J180" s="49"/>
      <c r="K180" s="49"/>
    </row>
    <row r="181" customFormat="false" ht="12" hidden="false" customHeight="true" outlineLevel="0" collapsed="false">
      <c r="A181" s="44" t="n">
        <v>152</v>
      </c>
      <c r="B181" s="38"/>
      <c r="C181" s="48"/>
      <c r="D181" s="45"/>
      <c r="E181" s="53"/>
      <c r="F181" s="51"/>
      <c r="G181" s="55"/>
      <c r="H181" s="55"/>
      <c r="I181" s="49"/>
      <c r="J181" s="49"/>
      <c r="K181" s="49"/>
    </row>
    <row r="182" customFormat="false" ht="12" hidden="false" customHeight="true" outlineLevel="0" collapsed="false">
      <c r="A182" s="44" t="n">
        <v>153</v>
      </c>
      <c r="B182" s="38"/>
      <c r="C182" s="48"/>
      <c r="D182" s="45"/>
      <c r="E182" s="53"/>
      <c r="F182" s="51"/>
      <c r="G182" s="55"/>
      <c r="H182" s="55"/>
      <c r="I182" s="49"/>
      <c r="J182" s="49"/>
      <c r="K182" s="49"/>
    </row>
    <row r="183" customFormat="false" ht="12" hidden="false" customHeight="true" outlineLevel="0" collapsed="false">
      <c r="A183" s="44" t="n">
        <v>154</v>
      </c>
      <c r="B183" s="38"/>
      <c r="C183" s="48"/>
      <c r="D183" s="45"/>
      <c r="E183" s="53"/>
      <c r="F183" s="51"/>
      <c r="G183" s="55"/>
      <c r="H183" s="55"/>
      <c r="I183" s="49"/>
      <c r="J183" s="49"/>
      <c r="K183" s="49"/>
    </row>
    <row r="184" customFormat="false" ht="12" hidden="false" customHeight="true" outlineLevel="0" collapsed="false">
      <c r="A184" s="44" t="n">
        <v>155</v>
      </c>
      <c r="B184" s="38"/>
      <c r="C184" s="48"/>
      <c r="D184" s="45"/>
      <c r="E184" s="53"/>
      <c r="F184" s="51"/>
      <c r="G184" s="55"/>
      <c r="H184" s="55"/>
      <c r="I184" s="49"/>
      <c r="J184" s="49"/>
      <c r="K184" s="49"/>
    </row>
    <row r="185" customFormat="false" ht="12" hidden="false" customHeight="true" outlineLevel="0" collapsed="false">
      <c r="A185" s="44" t="n">
        <v>156</v>
      </c>
      <c r="B185" s="38"/>
      <c r="C185" s="48"/>
      <c r="D185" s="45"/>
      <c r="E185" s="53"/>
      <c r="F185" s="51"/>
      <c r="G185" s="55"/>
      <c r="H185" s="55"/>
      <c r="I185" s="49"/>
      <c r="J185" s="49"/>
      <c r="K185" s="49"/>
    </row>
    <row r="186" customFormat="false" ht="12" hidden="false" customHeight="true" outlineLevel="0" collapsed="false">
      <c r="A186" s="44" t="n">
        <v>157</v>
      </c>
      <c r="B186" s="38"/>
      <c r="C186" s="48"/>
      <c r="D186" s="45"/>
      <c r="E186" s="53"/>
      <c r="F186" s="51"/>
      <c r="G186" s="55"/>
      <c r="H186" s="55"/>
      <c r="I186" s="49"/>
      <c r="J186" s="49"/>
      <c r="K186" s="49"/>
    </row>
    <row r="187" customFormat="false" ht="12" hidden="false" customHeight="true" outlineLevel="0" collapsed="false">
      <c r="A187" s="44" t="n">
        <v>158</v>
      </c>
      <c r="B187" s="38"/>
      <c r="C187" s="48"/>
      <c r="D187" s="45"/>
      <c r="E187" s="53"/>
      <c r="F187" s="51"/>
      <c r="G187" s="55"/>
      <c r="H187" s="55"/>
      <c r="I187" s="49"/>
      <c r="J187" s="49"/>
      <c r="K187" s="49"/>
    </row>
    <row r="188" customFormat="false" ht="12" hidden="false" customHeight="true" outlineLevel="0" collapsed="false">
      <c r="A188" s="44" t="n">
        <v>159</v>
      </c>
      <c r="B188" s="38"/>
      <c r="C188" s="48"/>
      <c r="D188" s="45"/>
      <c r="E188" s="53"/>
      <c r="F188" s="51"/>
      <c r="G188" s="55"/>
      <c r="H188" s="55"/>
      <c r="I188" s="49"/>
      <c r="J188" s="49"/>
      <c r="K188" s="49"/>
    </row>
    <row r="189" customFormat="false" ht="12" hidden="false" customHeight="true" outlineLevel="0" collapsed="false">
      <c r="A189" s="44" t="n">
        <v>160</v>
      </c>
      <c r="B189" s="38"/>
      <c r="C189" s="48"/>
      <c r="D189" s="45"/>
      <c r="E189" s="53"/>
      <c r="F189" s="51"/>
      <c r="G189" s="55"/>
      <c r="H189" s="55"/>
      <c r="I189" s="49"/>
      <c r="J189" s="49"/>
      <c r="K189" s="49"/>
    </row>
    <row r="190" customFormat="false" ht="12" hidden="false" customHeight="true" outlineLevel="0" collapsed="false">
      <c r="A190" s="44" t="n">
        <v>161</v>
      </c>
      <c r="B190" s="38"/>
      <c r="C190" s="48"/>
      <c r="D190" s="45"/>
      <c r="E190" s="53"/>
      <c r="F190" s="51"/>
      <c r="G190" s="55"/>
      <c r="H190" s="55"/>
      <c r="I190" s="49"/>
      <c r="J190" s="49"/>
      <c r="K190" s="49"/>
    </row>
    <row r="191" customFormat="false" ht="12" hidden="false" customHeight="true" outlineLevel="0" collapsed="false">
      <c r="A191" s="44" t="n">
        <v>162</v>
      </c>
      <c r="B191" s="38"/>
      <c r="C191" s="48"/>
      <c r="D191" s="45"/>
      <c r="E191" s="53"/>
      <c r="F191" s="51"/>
      <c r="G191" s="55"/>
      <c r="H191" s="55"/>
      <c r="I191" s="49"/>
      <c r="J191" s="49"/>
      <c r="K191" s="49"/>
    </row>
    <row r="192" customFormat="false" ht="12" hidden="false" customHeight="true" outlineLevel="0" collapsed="false">
      <c r="A192" s="44" t="n">
        <v>163</v>
      </c>
      <c r="B192" s="38"/>
      <c r="C192" s="48"/>
      <c r="D192" s="45"/>
      <c r="E192" s="53"/>
      <c r="F192" s="51"/>
      <c r="G192" s="55"/>
      <c r="H192" s="55"/>
      <c r="I192" s="49"/>
      <c r="J192" s="49"/>
      <c r="K192" s="49"/>
    </row>
    <row r="193" customFormat="false" ht="12" hidden="false" customHeight="true" outlineLevel="0" collapsed="false">
      <c r="A193" s="44" t="n">
        <v>164</v>
      </c>
      <c r="B193" s="38"/>
      <c r="C193" s="48"/>
      <c r="D193" s="45"/>
      <c r="E193" s="53"/>
      <c r="F193" s="51"/>
      <c r="G193" s="55"/>
      <c r="H193" s="55"/>
      <c r="I193" s="49"/>
      <c r="J193" s="49"/>
      <c r="K193" s="49"/>
    </row>
    <row r="194" customFormat="false" ht="12" hidden="false" customHeight="true" outlineLevel="0" collapsed="false">
      <c r="A194" s="44" t="n">
        <v>165</v>
      </c>
      <c r="B194" s="38"/>
      <c r="C194" s="48"/>
      <c r="D194" s="45"/>
      <c r="E194" s="53"/>
      <c r="F194" s="51"/>
      <c r="G194" s="55"/>
      <c r="H194" s="55"/>
      <c r="I194" s="49"/>
      <c r="J194" s="49"/>
      <c r="K194" s="49"/>
    </row>
    <row r="195" customFormat="false" ht="12" hidden="false" customHeight="true" outlineLevel="0" collapsed="false">
      <c r="A195" s="44" t="n">
        <v>166</v>
      </c>
      <c r="B195" s="38"/>
      <c r="C195" s="48"/>
      <c r="D195" s="45"/>
      <c r="E195" s="53"/>
      <c r="F195" s="51"/>
      <c r="G195" s="55"/>
      <c r="H195" s="55"/>
      <c r="I195" s="49"/>
      <c r="J195" s="49"/>
      <c r="K195" s="49"/>
    </row>
    <row r="196" customFormat="false" ht="12" hidden="false" customHeight="true" outlineLevel="0" collapsed="false">
      <c r="A196" s="44" t="n">
        <v>167</v>
      </c>
      <c r="B196" s="38"/>
      <c r="C196" s="48"/>
      <c r="D196" s="45"/>
      <c r="E196" s="53"/>
      <c r="F196" s="51"/>
      <c r="G196" s="55"/>
      <c r="H196" s="55"/>
      <c r="I196" s="49"/>
      <c r="J196" s="49"/>
      <c r="K196" s="49"/>
    </row>
    <row r="197" customFormat="false" ht="12" hidden="false" customHeight="true" outlineLevel="0" collapsed="false">
      <c r="A197" s="44" t="n">
        <v>168</v>
      </c>
      <c r="B197" s="38"/>
      <c r="C197" s="48"/>
      <c r="D197" s="45"/>
      <c r="E197" s="53"/>
      <c r="F197" s="51"/>
      <c r="G197" s="55"/>
      <c r="H197" s="55"/>
      <c r="I197" s="49"/>
      <c r="J197" s="49"/>
      <c r="K197" s="49"/>
    </row>
    <row r="198" customFormat="false" ht="12" hidden="false" customHeight="true" outlineLevel="0" collapsed="false">
      <c r="A198" s="44" t="n">
        <v>169</v>
      </c>
      <c r="B198" s="38"/>
      <c r="C198" s="48"/>
      <c r="D198" s="45"/>
      <c r="E198" s="53"/>
      <c r="F198" s="51"/>
      <c r="G198" s="55"/>
      <c r="H198" s="55"/>
      <c r="I198" s="49"/>
      <c r="J198" s="49"/>
      <c r="K198" s="49"/>
    </row>
    <row r="199" customFormat="false" ht="12" hidden="false" customHeight="true" outlineLevel="0" collapsed="false">
      <c r="A199" s="44" t="n">
        <v>170</v>
      </c>
      <c r="B199" s="38"/>
      <c r="C199" s="48"/>
      <c r="D199" s="45"/>
      <c r="E199" s="53"/>
      <c r="F199" s="51"/>
      <c r="G199" s="55"/>
      <c r="H199" s="55"/>
      <c r="I199" s="49"/>
      <c r="J199" s="49"/>
      <c r="K199" s="49"/>
    </row>
    <row r="200" customFormat="false" ht="12" hidden="false" customHeight="true" outlineLevel="0" collapsed="false">
      <c r="A200" s="44" t="n">
        <v>171</v>
      </c>
      <c r="B200" s="38"/>
      <c r="C200" s="48"/>
      <c r="D200" s="45"/>
      <c r="E200" s="53"/>
      <c r="F200" s="51"/>
      <c r="G200" s="55"/>
      <c r="H200" s="55"/>
      <c r="I200" s="49"/>
      <c r="J200" s="49"/>
      <c r="K200" s="49"/>
    </row>
    <row r="201" customFormat="false" ht="12" hidden="false" customHeight="true" outlineLevel="0" collapsed="false">
      <c r="A201" s="44" t="n">
        <v>172</v>
      </c>
      <c r="B201" s="38"/>
      <c r="C201" s="48"/>
      <c r="D201" s="45"/>
      <c r="E201" s="53"/>
      <c r="F201" s="51"/>
      <c r="G201" s="55"/>
      <c r="H201" s="55"/>
      <c r="I201" s="49"/>
      <c r="J201" s="49"/>
      <c r="K201" s="49"/>
    </row>
    <row r="202" customFormat="false" ht="12" hidden="false" customHeight="true" outlineLevel="0" collapsed="false">
      <c r="A202" s="44" t="n">
        <v>173</v>
      </c>
      <c r="B202" s="38"/>
      <c r="C202" s="48"/>
      <c r="D202" s="45"/>
      <c r="E202" s="53"/>
      <c r="F202" s="51"/>
      <c r="G202" s="55"/>
      <c r="H202" s="55"/>
      <c r="I202" s="49"/>
      <c r="J202" s="49"/>
      <c r="K202" s="49"/>
    </row>
    <row r="203" customFormat="false" ht="12" hidden="false" customHeight="true" outlineLevel="0" collapsed="false">
      <c r="A203" s="44" t="n">
        <v>174</v>
      </c>
      <c r="B203" s="38"/>
      <c r="C203" s="48"/>
      <c r="D203" s="45"/>
      <c r="E203" s="53"/>
      <c r="F203" s="51"/>
      <c r="G203" s="55"/>
      <c r="H203" s="55"/>
      <c r="I203" s="49"/>
      <c r="J203" s="49"/>
      <c r="K203" s="49"/>
    </row>
    <row r="204" customFormat="false" ht="12" hidden="false" customHeight="true" outlineLevel="0" collapsed="false">
      <c r="A204" s="44" t="n">
        <v>175</v>
      </c>
      <c r="B204" s="38"/>
      <c r="C204" s="48"/>
      <c r="D204" s="45"/>
      <c r="E204" s="53"/>
      <c r="F204" s="51"/>
      <c r="G204" s="55"/>
      <c r="H204" s="55"/>
      <c r="I204" s="49"/>
      <c r="J204" s="49"/>
      <c r="K204" s="49"/>
    </row>
    <row r="205" customFormat="false" ht="12" hidden="false" customHeight="true" outlineLevel="0" collapsed="false">
      <c r="A205" s="44" t="n">
        <v>176</v>
      </c>
      <c r="B205" s="38"/>
      <c r="C205" s="48"/>
      <c r="D205" s="45"/>
      <c r="E205" s="53"/>
      <c r="F205" s="51"/>
      <c r="G205" s="55"/>
      <c r="H205" s="55"/>
      <c r="I205" s="49"/>
      <c r="J205" s="49"/>
      <c r="K205" s="49"/>
    </row>
    <row r="206" customFormat="false" ht="12" hidden="false" customHeight="true" outlineLevel="0" collapsed="false">
      <c r="A206" s="44" t="n">
        <v>177</v>
      </c>
      <c r="B206" s="38"/>
      <c r="C206" s="48"/>
      <c r="D206" s="45"/>
      <c r="E206" s="53"/>
      <c r="F206" s="51"/>
      <c r="G206" s="55"/>
      <c r="H206" s="55"/>
      <c r="I206" s="49"/>
      <c r="J206" s="49"/>
      <c r="K206" s="49"/>
    </row>
    <row r="207" customFormat="false" ht="12" hidden="false" customHeight="true" outlineLevel="0" collapsed="false">
      <c r="A207" s="44" t="n">
        <v>178</v>
      </c>
      <c r="B207" s="38"/>
      <c r="C207" s="48"/>
      <c r="D207" s="45"/>
      <c r="E207" s="53"/>
      <c r="F207" s="51"/>
      <c r="G207" s="55"/>
      <c r="H207" s="55"/>
      <c r="I207" s="49"/>
      <c r="J207" s="49"/>
      <c r="K207" s="49"/>
    </row>
    <row r="208" customFormat="false" ht="12" hidden="false" customHeight="true" outlineLevel="0" collapsed="false">
      <c r="A208" s="44" t="n">
        <v>179</v>
      </c>
      <c r="B208" s="38"/>
      <c r="C208" s="48"/>
      <c r="D208" s="45"/>
      <c r="E208" s="53"/>
      <c r="F208" s="51"/>
      <c r="G208" s="55"/>
      <c r="H208" s="55"/>
      <c r="I208" s="49"/>
      <c r="J208" s="49"/>
      <c r="K208" s="49"/>
    </row>
    <row r="209" customFormat="false" ht="12" hidden="false" customHeight="true" outlineLevel="0" collapsed="false">
      <c r="A209" s="44" t="n">
        <v>180</v>
      </c>
      <c r="B209" s="38"/>
      <c r="C209" s="48"/>
      <c r="D209" s="45"/>
      <c r="E209" s="53"/>
      <c r="F209" s="51"/>
      <c r="G209" s="55"/>
      <c r="H209" s="55"/>
      <c r="I209" s="49"/>
      <c r="J209" s="49"/>
      <c r="K209" s="49"/>
    </row>
    <row r="210" customFormat="false" ht="12" hidden="false" customHeight="true" outlineLevel="0" collapsed="false">
      <c r="A210" s="44" t="n">
        <v>181</v>
      </c>
      <c r="B210" s="38"/>
      <c r="C210" s="48"/>
      <c r="D210" s="45"/>
      <c r="E210" s="53"/>
      <c r="F210" s="51"/>
      <c r="G210" s="55"/>
      <c r="H210" s="55"/>
      <c r="I210" s="49"/>
      <c r="J210" s="49"/>
      <c r="K210" s="49"/>
    </row>
    <row r="211" customFormat="false" ht="12" hidden="false" customHeight="true" outlineLevel="0" collapsed="false">
      <c r="A211" s="44" t="n">
        <v>182</v>
      </c>
      <c r="B211" s="38"/>
      <c r="C211" s="48"/>
      <c r="D211" s="45"/>
      <c r="E211" s="53"/>
      <c r="F211" s="51"/>
      <c r="G211" s="55"/>
      <c r="H211" s="55"/>
      <c r="I211" s="49"/>
      <c r="J211" s="49"/>
      <c r="K211" s="49"/>
    </row>
    <row r="212" customFormat="false" ht="12" hidden="false" customHeight="true" outlineLevel="0" collapsed="false">
      <c r="A212" s="44" t="n">
        <v>183</v>
      </c>
      <c r="B212" s="38"/>
      <c r="C212" s="48"/>
      <c r="D212" s="45"/>
      <c r="E212" s="53"/>
      <c r="F212" s="51"/>
      <c r="G212" s="55"/>
      <c r="H212" s="55"/>
      <c r="I212" s="49"/>
      <c r="J212" s="49"/>
      <c r="K212" s="49"/>
    </row>
    <row r="213" customFormat="false" ht="12" hidden="false" customHeight="true" outlineLevel="0" collapsed="false">
      <c r="A213" s="44" t="n">
        <v>184</v>
      </c>
      <c r="B213" s="38"/>
      <c r="C213" s="48"/>
      <c r="D213" s="45"/>
      <c r="E213" s="53"/>
      <c r="F213" s="51"/>
      <c r="G213" s="55"/>
      <c r="H213" s="55"/>
      <c r="I213" s="49"/>
      <c r="J213" s="49"/>
      <c r="K213" s="49"/>
    </row>
    <row r="214" customFormat="false" ht="12" hidden="false" customHeight="true" outlineLevel="0" collapsed="false">
      <c r="A214" s="44" t="n">
        <v>185</v>
      </c>
      <c r="B214" s="38"/>
      <c r="C214" s="48"/>
      <c r="D214" s="45"/>
      <c r="E214" s="53"/>
      <c r="F214" s="51"/>
      <c r="G214" s="55"/>
      <c r="H214" s="55"/>
      <c r="I214" s="49"/>
      <c r="J214" s="49"/>
      <c r="K214" s="49"/>
    </row>
    <row r="215" customFormat="false" ht="12" hidden="false" customHeight="true" outlineLevel="0" collapsed="false">
      <c r="A215" s="44" t="n">
        <v>186</v>
      </c>
      <c r="B215" s="38"/>
      <c r="C215" s="48"/>
      <c r="D215" s="45"/>
      <c r="E215" s="53"/>
      <c r="F215" s="51"/>
      <c r="G215" s="55"/>
      <c r="H215" s="55"/>
      <c r="I215" s="49"/>
      <c r="J215" s="49"/>
      <c r="K215" s="49"/>
    </row>
    <row r="216" customFormat="false" ht="12" hidden="false" customHeight="true" outlineLevel="0" collapsed="false">
      <c r="A216" s="44" t="n">
        <v>187</v>
      </c>
      <c r="B216" s="38"/>
      <c r="C216" s="48"/>
      <c r="D216" s="45"/>
      <c r="E216" s="53"/>
      <c r="F216" s="51"/>
      <c r="G216" s="55"/>
      <c r="H216" s="55"/>
      <c r="I216" s="49"/>
      <c r="J216" s="49"/>
      <c r="K216" s="49"/>
    </row>
    <row r="217" customFormat="false" ht="12" hidden="false" customHeight="true" outlineLevel="0" collapsed="false">
      <c r="A217" s="44" t="n">
        <v>188</v>
      </c>
      <c r="B217" s="38"/>
      <c r="C217" s="48"/>
      <c r="D217" s="45"/>
      <c r="E217" s="53"/>
      <c r="F217" s="51"/>
      <c r="G217" s="55"/>
      <c r="H217" s="55"/>
      <c r="I217" s="49"/>
      <c r="J217" s="49"/>
      <c r="K217" s="49"/>
    </row>
    <row r="218" customFormat="false" ht="12" hidden="false" customHeight="true" outlineLevel="0" collapsed="false">
      <c r="A218" s="44" t="n">
        <v>189</v>
      </c>
      <c r="B218" s="38"/>
      <c r="C218" s="48"/>
      <c r="D218" s="45"/>
      <c r="E218" s="53"/>
      <c r="F218" s="51"/>
      <c r="G218" s="55"/>
      <c r="H218" s="55"/>
      <c r="I218" s="49"/>
      <c r="J218" s="49"/>
      <c r="K218" s="49"/>
    </row>
    <row r="219" customFormat="false" ht="12" hidden="false" customHeight="true" outlineLevel="0" collapsed="false">
      <c r="A219" s="44" t="n">
        <v>190</v>
      </c>
      <c r="B219" s="38"/>
      <c r="C219" s="48"/>
      <c r="D219" s="45"/>
      <c r="E219" s="53"/>
      <c r="F219" s="51"/>
      <c r="G219" s="55"/>
      <c r="H219" s="55"/>
      <c r="I219" s="49"/>
      <c r="J219" s="49"/>
      <c r="K219" s="49"/>
    </row>
    <row r="220" customFormat="false" ht="12" hidden="false" customHeight="true" outlineLevel="0" collapsed="false">
      <c r="A220" s="44" t="n">
        <v>191</v>
      </c>
      <c r="B220" s="38"/>
      <c r="C220" s="48"/>
      <c r="D220" s="45"/>
      <c r="E220" s="53"/>
      <c r="F220" s="51"/>
      <c r="G220" s="55"/>
      <c r="H220" s="55"/>
      <c r="I220" s="49"/>
      <c r="J220" s="49"/>
      <c r="K220" s="49"/>
    </row>
    <row r="221" customFormat="false" ht="12" hidden="false" customHeight="true" outlineLevel="0" collapsed="false">
      <c r="A221" s="44" t="n">
        <v>192</v>
      </c>
      <c r="B221" s="38"/>
      <c r="C221" s="48"/>
      <c r="D221" s="45"/>
      <c r="E221" s="53"/>
      <c r="F221" s="51"/>
      <c r="G221" s="55"/>
      <c r="H221" s="55"/>
      <c r="I221" s="49"/>
      <c r="J221" s="49"/>
      <c r="K221" s="49"/>
    </row>
    <row r="222" customFormat="false" ht="12" hidden="false" customHeight="true" outlineLevel="0" collapsed="false">
      <c r="A222" s="44" t="n">
        <v>193</v>
      </c>
      <c r="B222" s="38"/>
      <c r="C222" s="48"/>
      <c r="D222" s="45"/>
      <c r="E222" s="53"/>
      <c r="F222" s="51"/>
      <c r="G222" s="55"/>
      <c r="H222" s="55"/>
      <c r="I222" s="49"/>
      <c r="J222" s="49"/>
      <c r="K222" s="49"/>
    </row>
    <row r="223" customFormat="false" ht="12" hidden="false" customHeight="true" outlineLevel="0" collapsed="false">
      <c r="A223" s="44" t="n">
        <v>194</v>
      </c>
      <c r="B223" s="38"/>
      <c r="C223" s="48"/>
      <c r="D223" s="45"/>
      <c r="E223" s="53"/>
      <c r="F223" s="51"/>
      <c r="G223" s="55"/>
      <c r="H223" s="55"/>
      <c r="I223" s="49"/>
      <c r="J223" s="49"/>
      <c r="K223" s="49"/>
    </row>
    <row r="224" customFormat="false" ht="12" hidden="false" customHeight="true" outlineLevel="0" collapsed="false">
      <c r="A224" s="44" t="n">
        <v>195</v>
      </c>
      <c r="B224" s="38"/>
      <c r="C224" s="48"/>
      <c r="D224" s="45"/>
      <c r="E224" s="53"/>
      <c r="F224" s="51"/>
      <c r="G224" s="55"/>
      <c r="H224" s="55"/>
      <c r="I224" s="49"/>
      <c r="J224" s="49"/>
      <c r="K224" s="49"/>
    </row>
    <row r="225" customFormat="false" ht="12" hidden="false" customHeight="true" outlineLevel="0" collapsed="false">
      <c r="A225" s="44" t="n">
        <v>196</v>
      </c>
      <c r="B225" s="38"/>
      <c r="C225" s="48"/>
      <c r="D225" s="45"/>
      <c r="E225" s="53"/>
      <c r="F225" s="51"/>
      <c r="G225" s="55"/>
      <c r="H225" s="55"/>
      <c r="I225" s="49"/>
      <c r="J225" s="49"/>
      <c r="K225" s="49"/>
    </row>
    <row r="226" customFormat="false" ht="12" hidden="false" customHeight="true" outlineLevel="0" collapsed="false">
      <c r="A226" s="44" t="n">
        <v>197</v>
      </c>
      <c r="B226" s="38"/>
      <c r="C226" s="48"/>
      <c r="D226" s="45"/>
      <c r="E226" s="53"/>
      <c r="F226" s="51"/>
      <c r="G226" s="55"/>
      <c r="H226" s="55"/>
      <c r="I226" s="49"/>
      <c r="J226" s="49"/>
      <c r="K226" s="49"/>
    </row>
    <row r="227" customFormat="false" ht="12" hidden="false" customHeight="true" outlineLevel="0" collapsed="false">
      <c r="A227" s="44" t="n">
        <v>198</v>
      </c>
      <c r="B227" s="38"/>
      <c r="C227" s="48"/>
      <c r="D227" s="45"/>
      <c r="E227" s="53"/>
      <c r="F227" s="51"/>
      <c r="G227" s="55"/>
      <c r="H227" s="55"/>
      <c r="I227" s="49"/>
      <c r="J227" s="49"/>
      <c r="K227" s="49"/>
    </row>
    <row r="228" customFormat="false" ht="12" hidden="false" customHeight="true" outlineLevel="0" collapsed="false">
      <c r="A228" s="44" t="n">
        <v>199</v>
      </c>
      <c r="B228" s="38"/>
      <c r="C228" s="48"/>
      <c r="D228" s="45"/>
      <c r="E228" s="53"/>
      <c r="F228" s="51"/>
      <c r="G228" s="55"/>
      <c r="H228" s="55"/>
      <c r="I228" s="49"/>
      <c r="J228" s="49"/>
      <c r="K228" s="49"/>
    </row>
    <row r="229" customFormat="false" ht="12" hidden="false" customHeight="true" outlineLevel="0" collapsed="false">
      <c r="A229" s="44" t="n">
        <v>200</v>
      </c>
      <c r="B229" s="38"/>
      <c r="C229" s="48"/>
      <c r="D229" s="45"/>
      <c r="E229" s="53"/>
      <c r="F229" s="51"/>
      <c r="G229" s="55"/>
      <c r="H229" s="55"/>
      <c r="I229" s="49"/>
      <c r="J229" s="49"/>
      <c r="K229" s="49"/>
    </row>
    <row r="230" customFormat="false" ht="12" hidden="false" customHeight="true" outlineLevel="0" collapsed="false">
      <c r="A230" s="44" t="n">
        <v>201</v>
      </c>
      <c r="B230" s="38"/>
      <c r="C230" s="48"/>
      <c r="D230" s="45"/>
      <c r="E230" s="53"/>
      <c r="F230" s="51"/>
      <c r="G230" s="55"/>
      <c r="H230" s="55"/>
      <c r="I230" s="49"/>
      <c r="J230" s="49"/>
      <c r="K230" s="49"/>
    </row>
    <row r="231" customFormat="false" ht="12.75" hidden="false" customHeight="true" outlineLevel="0" collapsed="false">
      <c r="A231" s="44" t="n">
        <v>202</v>
      </c>
      <c r="B231" s="38"/>
      <c r="C231" s="48"/>
      <c r="D231" s="45"/>
      <c r="E231" s="50"/>
      <c r="F231" s="51"/>
      <c r="G231" s="52"/>
      <c r="H231" s="52"/>
      <c r="I231" s="56"/>
    </row>
    <row r="232" customFormat="false" ht="12.75" hidden="false" customHeight="true" outlineLevel="0" collapsed="false">
      <c r="A232" s="44" t="n">
        <v>203</v>
      </c>
      <c r="B232" s="38"/>
      <c r="C232" s="48"/>
      <c r="D232" s="45"/>
      <c r="E232" s="50"/>
      <c r="F232" s="51"/>
      <c r="G232" s="52"/>
      <c r="H232" s="52"/>
      <c r="I232" s="56"/>
    </row>
    <row r="233" customFormat="false" ht="12.75" hidden="false" customHeight="true" outlineLevel="0" collapsed="false">
      <c r="A233" s="44" t="n">
        <v>204</v>
      </c>
      <c r="B233" s="38"/>
      <c r="C233" s="48"/>
      <c r="D233" s="45"/>
      <c r="E233" s="50"/>
      <c r="F233" s="51"/>
      <c r="G233" s="52"/>
      <c r="H233" s="52"/>
      <c r="I233" s="56"/>
    </row>
    <row r="234" customFormat="false" ht="12.75" hidden="false" customHeight="true" outlineLevel="0" collapsed="false">
      <c r="A234" s="44" t="n">
        <v>205</v>
      </c>
      <c r="B234" s="38"/>
      <c r="C234" s="48"/>
      <c r="D234" s="45"/>
      <c r="E234" s="50"/>
      <c r="F234" s="51"/>
      <c r="G234" s="52"/>
      <c r="H234" s="52"/>
      <c r="I234" s="56"/>
    </row>
    <row r="235" customFormat="false" ht="12.75" hidden="false" customHeight="true" outlineLevel="0" collapsed="false">
      <c r="A235" s="44" t="n">
        <v>206</v>
      </c>
      <c r="B235" s="50"/>
      <c r="C235" s="48"/>
      <c r="D235" s="45"/>
      <c r="E235" s="50"/>
      <c r="F235" s="51"/>
      <c r="G235" s="52"/>
      <c r="H235" s="52"/>
      <c r="I235" s="56"/>
    </row>
    <row r="236" customFormat="false" ht="12.75" hidden="false" customHeight="true" outlineLevel="0" collapsed="false">
      <c r="A236" s="44" t="n">
        <v>207</v>
      </c>
      <c r="B236" s="50"/>
      <c r="C236" s="48"/>
      <c r="D236" s="45"/>
      <c r="E236" s="50"/>
      <c r="F236" s="51"/>
      <c r="G236" s="52"/>
      <c r="H236" s="52"/>
      <c r="I236" s="56"/>
    </row>
    <row r="237" customFormat="false" ht="12.75" hidden="false" customHeight="true" outlineLevel="0" collapsed="false">
      <c r="A237" s="44" t="n">
        <v>208</v>
      </c>
      <c r="B237" s="50"/>
      <c r="C237" s="48"/>
      <c r="D237" s="45"/>
      <c r="E237" s="50"/>
      <c r="F237" s="51"/>
      <c r="G237" s="52"/>
      <c r="H237" s="52"/>
      <c r="I237" s="56"/>
    </row>
    <row r="238" customFormat="false" ht="12.75" hidden="false" customHeight="true" outlineLevel="0" collapsed="false">
      <c r="A238" s="44" t="n">
        <v>209</v>
      </c>
      <c r="B238" s="50"/>
      <c r="C238" s="48"/>
      <c r="D238" s="45"/>
      <c r="E238" s="50"/>
      <c r="F238" s="51"/>
      <c r="G238" s="52"/>
      <c r="H238" s="52"/>
      <c r="I238" s="56"/>
    </row>
    <row r="239" customFormat="false" ht="12.75" hidden="false" customHeight="true" outlineLevel="0" collapsed="false">
      <c r="A239" s="44" t="n">
        <v>210</v>
      </c>
      <c r="B239" s="50"/>
      <c r="C239" s="48"/>
      <c r="D239" s="45"/>
      <c r="E239" s="50"/>
      <c r="F239" s="51"/>
      <c r="G239" s="52"/>
      <c r="H239" s="52"/>
      <c r="I239" s="56"/>
    </row>
    <row r="240" customFormat="false" ht="12.75" hidden="false" customHeight="true" outlineLevel="0" collapsed="false">
      <c r="A240" s="44" t="n">
        <v>211</v>
      </c>
      <c r="B240" s="50"/>
      <c r="C240" s="48"/>
      <c r="D240" s="45"/>
      <c r="E240" s="50"/>
      <c r="F240" s="51"/>
      <c r="G240" s="52"/>
      <c r="H240" s="52"/>
      <c r="I240" s="56"/>
    </row>
    <row r="241" customFormat="false" ht="12.75" hidden="false" customHeight="true" outlineLevel="0" collapsed="false">
      <c r="A241" s="44" t="n">
        <v>212</v>
      </c>
      <c r="B241" s="50"/>
      <c r="C241" s="48"/>
      <c r="D241" s="45"/>
      <c r="E241" s="50"/>
      <c r="F241" s="51"/>
      <c r="G241" s="52"/>
      <c r="H241" s="52"/>
      <c r="I241" s="56"/>
    </row>
    <row r="242" customFormat="false" ht="12.75" hidden="false" customHeight="true" outlineLevel="0" collapsed="false">
      <c r="A242" s="44" t="n">
        <v>213</v>
      </c>
      <c r="B242" s="50"/>
      <c r="C242" s="48"/>
      <c r="D242" s="45"/>
      <c r="E242" s="50"/>
      <c r="F242" s="51"/>
      <c r="G242" s="52"/>
      <c r="H242" s="52"/>
      <c r="I242" s="56"/>
    </row>
    <row r="243" customFormat="false" ht="12.75" hidden="false" customHeight="true" outlineLevel="0" collapsed="false">
      <c r="A243" s="44" t="n">
        <v>214</v>
      </c>
      <c r="B243" s="50"/>
      <c r="C243" s="48"/>
      <c r="D243" s="45"/>
      <c r="E243" s="50"/>
      <c r="F243" s="51"/>
      <c r="G243" s="52"/>
      <c r="H243" s="52"/>
      <c r="I243" s="56"/>
    </row>
    <row r="244" customFormat="false" ht="12.75" hidden="false" customHeight="true" outlineLevel="0" collapsed="false">
      <c r="A244" s="44" t="n">
        <v>215</v>
      </c>
      <c r="B244" s="50"/>
      <c r="C244" s="48"/>
      <c r="D244" s="45"/>
      <c r="E244" s="50"/>
      <c r="F244" s="51"/>
      <c r="G244" s="52"/>
      <c r="H244" s="52"/>
      <c r="I244" s="56"/>
    </row>
    <row r="245" customFormat="false" ht="12.75" hidden="false" customHeight="true" outlineLevel="0" collapsed="false">
      <c r="A245" s="44" t="n">
        <v>216</v>
      </c>
      <c r="B245" s="50"/>
      <c r="C245" s="48"/>
      <c r="D245" s="45"/>
      <c r="E245" s="50"/>
      <c r="F245" s="51"/>
      <c r="G245" s="52"/>
      <c r="H245" s="52"/>
      <c r="I245" s="56"/>
    </row>
    <row r="246" customFormat="false" ht="12.75" hidden="false" customHeight="true" outlineLevel="0" collapsed="false">
      <c r="A246" s="44" t="n">
        <v>217</v>
      </c>
      <c r="B246" s="50"/>
      <c r="C246" s="48"/>
      <c r="D246" s="45"/>
      <c r="E246" s="50"/>
      <c r="F246" s="51"/>
      <c r="G246" s="52"/>
      <c r="H246" s="52"/>
      <c r="I246" s="56"/>
    </row>
    <row r="247" customFormat="false" ht="12.75" hidden="false" customHeight="true" outlineLevel="0" collapsed="false">
      <c r="A247" s="44" t="n">
        <v>218</v>
      </c>
      <c r="B247" s="50"/>
      <c r="C247" s="48"/>
      <c r="D247" s="45"/>
      <c r="E247" s="50"/>
      <c r="F247" s="51"/>
      <c r="G247" s="52"/>
      <c r="H247" s="52"/>
      <c r="I247" s="56"/>
    </row>
    <row r="248" customFormat="false" ht="12.75" hidden="false" customHeight="true" outlineLevel="0" collapsed="false">
      <c r="A248" s="44" t="n">
        <v>219</v>
      </c>
      <c r="B248" s="50"/>
      <c r="C248" s="48"/>
      <c r="D248" s="45"/>
      <c r="E248" s="50"/>
      <c r="F248" s="51"/>
      <c r="G248" s="52"/>
      <c r="H248" s="52"/>
      <c r="I248" s="56"/>
    </row>
    <row r="249" customFormat="false" ht="12.75" hidden="false" customHeight="true" outlineLevel="0" collapsed="false">
      <c r="A249" s="44" t="n">
        <v>220</v>
      </c>
      <c r="B249" s="50"/>
      <c r="C249" s="48"/>
      <c r="D249" s="45"/>
      <c r="E249" s="50"/>
      <c r="F249" s="51"/>
      <c r="G249" s="52"/>
      <c r="H249" s="52"/>
      <c r="I249" s="56"/>
    </row>
    <row r="250" customFormat="false" ht="12.75" hidden="false" customHeight="true" outlineLevel="0" collapsed="false">
      <c r="A250" s="44" t="n">
        <v>221</v>
      </c>
      <c r="B250" s="50"/>
      <c r="C250" s="48"/>
      <c r="D250" s="45"/>
      <c r="E250" s="50"/>
      <c r="F250" s="51"/>
      <c r="G250" s="52"/>
      <c r="H250" s="52"/>
      <c r="I250" s="56"/>
    </row>
    <row r="251" customFormat="false" ht="12.75" hidden="false" customHeight="true" outlineLevel="0" collapsed="false">
      <c r="A251" s="44" t="n">
        <v>222</v>
      </c>
      <c r="B251" s="50"/>
      <c r="C251" s="48"/>
      <c r="D251" s="45"/>
      <c r="E251" s="50"/>
      <c r="F251" s="51"/>
      <c r="G251" s="52"/>
      <c r="H251" s="52"/>
      <c r="I251" s="56"/>
    </row>
    <row r="252" customFormat="false" ht="12.75" hidden="false" customHeight="true" outlineLevel="0" collapsed="false">
      <c r="A252" s="44" t="n">
        <v>223</v>
      </c>
      <c r="B252" s="50"/>
      <c r="C252" s="48"/>
      <c r="D252" s="45"/>
      <c r="E252" s="50"/>
      <c r="F252" s="51"/>
      <c r="G252" s="52"/>
      <c r="H252" s="52"/>
      <c r="I252" s="56"/>
    </row>
    <row r="253" customFormat="false" ht="12.75" hidden="false" customHeight="true" outlineLevel="0" collapsed="false">
      <c r="A253" s="44" t="n">
        <v>224</v>
      </c>
      <c r="B253" s="50"/>
      <c r="C253" s="48"/>
      <c r="D253" s="45"/>
      <c r="E253" s="50"/>
      <c r="F253" s="51"/>
      <c r="G253" s="52"/>
      <c r="H253" s="52"/>
      <c r="I253" s="56"/>
    </row>
    <row r="254" customFormat="false" ht="12.75" hidden="false" customHeight="true" outlineLevel="0" collapsed="false">
      <c r="A254" s="44" t="n">
        <v>225</v>
      </c>
      <c r="B254" s="50"/>
      <c r="C254" s="48"/>
      <c r="D254" s="45"/>
      <c r="E254" s="50"/>
      <c r="F254" s="51"/>
      <c r="G254" s="52"/>
      <c r="H254" s="52"/>
      <c r="I254" s="56"/>
    </row>
    <row r="255" customFormat="false" ht="12.75" hidden="false" customHeight="true" outlineLevel="0" collapsed="false">
      <c r="A255" s="44" t="n">
        <v>226</v>
      </c>
      <c r="B255" s="50"/>
      <c r="C255" s="48"/>
      <c r="D255" s="45"/>
      <c r="E255" s="50"/>
      <c r="F255" s="51"/>
      <c r="G255" s="52"/>
      <c r="H255" s="52"/>
      <c r="I255" s="56"/>
    </row>
    <row r="256" customFormat="false" ht="12.75" hidden="false" customHeight="true" outlineLevel="0" collapsed="false">
      <c r="A256" s="44" t="n">
        <v>227</v>
      </c>
      <c r="B256" s="50"/>
      <c r="C256" s="48"/>
      <c r="D256" s="45"/>
      <c r="E256" s="50"/>
      <c r="F256" s="51"/>
      <c r="G256" s="52"/>
      <c r="H256" s="52"/>
      <c r="I256" s="56"/>
    </row>
    <row r="257" customFormat="false" ht="13.5" hidden="false" customHeight="true" outlineLevel="0" collapsed="false">
      <c r="A257" s="44" t="n">
        <v>228</v>
      </c>
      <c r="B257" s="50"/>
      <c r="C257" s="48"/>
      <c r="D257" s="45"/>
      <c r="E257" s="50"/>
      <c r="F257" s="51"/>
      <c r="G257" s="52"/>
      <c r="H257" s="52"/>
      <c r="I257" s="56"/>
    </row>
    <row r="258" customFormat="false" ht="18" hidden="false" customHeight="true" outlineLevel="0" collapsed="false">
      <c r="A258" s="44" t="n">
        <v>229</v>
      </c>
      <c r="B258" s="50"/>
      <c r="C258" s="48"/>
      <c r="D258" s="45"/>
      <c r="E258" s="50"/>
      <c r="F258" s="51"/>
      <c r="G258" s="52"/>
      <c r="H258" s="52"/>
      <c r="I258" s="56"/>
    </row>
    <row r="259" customFormat="false" ht="15" hidden="false" customHeight="true" outlineLevel="0" collapsed="false">
      <c r="A259" s="44" t="n">
        <v>230</v>
      </c>
      <c r="B259" s="50"/>
      <c r="C259" s="48"/>
      <c r="D259" s="45"/>
      <c r="E259" s="50"/>
      <c r="F259" s="51"/>
      <c r="G259" s="52"/>
      <c r="H259" s="52"/>
      <c r="I259" s="56"/>
    </row>
    <row r="260" customFormat="false" ht="15" hidden="false" customHeight="true" outlineLevel="0" collapsed="false">
      <c r="A260" s="44" t="n">
        <v>231</v>
      </c>
      <c r="B260" s="50"/>
      <c r="C260" s="48"/>
      <c r="D260" s="45"/>
      <c r="E260" s="50"/>
      <c r="F260" s="51"/>
      <c r="G260" s="52"/>
      <c r="H260" s="52"/>
      <c r="I260" s="56"/>
    </row>
    <row r="261" customFormat="false" ht="12.8" hidden="false" customHeight="true" outlineLevel="0" collapsed="false">
      <c r="A261" s="44" t="n">
        <v>232</v>
      </c>
      <c r="B261" s="50"/>
      <c r="C261" s="48"/>
      <c r="D261" s="45"/>
      <c r="E261" s="50"/>
      <c r="F261" s="51"/>
      <c r="G261" s="52"/>
      <c r="H261" s="52"/>
      <c r="I261" s="56"/>
    </row>
    <row r="262" customFormat="false" ht="16.5" hidden="false" customHeight="true" outlineLevel="0" collapsed="false">
      <c r="A262" s="44" t="n">
        <v>233</v>
      </c>
      <c r="B262" s="50"/>
      <c r="C262" s="48"/>
      <c r="D262" s="45"/>
      <c r="E262" s="50"/>
      <c r="F262" s="51"/>
      <c r="G262" s="52"/>
      <c r="H262" s="52"/>
      <c r="I262" s="56"/>
    </row>
    <row r="263" customFormat="false" ht="16.5" hidden="false" customHeight="true" outlineLevel="0" collapsed="false">
      <c r="A263" s="44" t="n">
        <v>234</v>
      </c>
      <c r="B263" s="50"/>
      <c r="C263" s="48"/>
      <c r="D263" s="45"/>
      <c r="E263" s="50"/>
      <c r="F263" s="51"/>
      <c r="G263" s="52"/>
      <c r="H263" s="52"/>
      <c r="I263" s="56"/>
    </row>
    <row r="264" customFormat="false" ht="16.5" hidden="false" customHeight="true" outlineLevel="0" collapsed="false">
      <c r="A264" s="44" t="n">
        <v>235</v>
      </c>
      <c r="B264" s="50"/>
      <c r="C264" s="48"/>
      <c r="D264" s="45"/>
      <c r="E264" s="50"/>
      <c r="F264" s="51"/>
      <c r="G264" s="52"/>
      <c r="H264" s="52"/>
      <c r="I264" s="56"/>
    </row>
    <row r="265" customFormat="false" ht="12.8" hidden="false" customHeight="true" outlineLevel="0" collapsed="false">
      <c r="A265" s="44" t="n">
        <v>236</v>
      </c>
      <c r="B265" s="50"/>
      <c r="C265" s="48"/>
      <c r="D265" s="45"/>
      <c r="E265" s="50"/>
      <c r="F265" s="51"/>
      <c r="G265" s="52"/>
      <c r="H265" s="52"/>
      <c r="I265" s="56"/>
    </row>
    <row r="266" customFormat="false" ht="12.8" hidden="false" customHeight="true" outlineLevel="0" collapsed="false">
      <c r="A266" s="44" t="n">
        <v>237</v>
      </c>
      <c r="B266" s="50"/>
      <c r="C266" s="48"/>
      <c r="D266" s="45"/>
      <c r="E266" s="50"/>
      <c r="F266" s="51"/>
      <c r="G266" s="52"/>
      <c r="H266" s="52"/>
      <c r="I266" s="56"/>
    </row>
    <row r="267" customFormat="false" ht="16.5" hidden="false" customHeight="true" outlineLevel="0" collapsed="false">
      <c r="A267" s="44" t="n">
        <v>238</v>
      </c>
      <c r="B267" s="38"/>
      <c r="C267" s="38"/>
      <c r="D267" s="39"/>
      <c r="E267" s="53"/>
      <c r="F267" s="54"/>
      <c r="G267" s="55"/>
      <c r="H267" s="55"/>
      <c r="I267" s="56"/>
    </row>
    <row r="268" customFormat="false" ht="12.8" hidden="false" customHeight="true" outlineLevel="0" collapsed="false">
      <c r="A268" s="44" t="n">
        <v>239</v>
      </c>
      <c r="B268" s="38"/>
      <c r="C268" s="48"/>
      <c r="D268" s="45"/>
      <c r="E268" s="53"/>
      <c r="F268" s="51"/>
      <c r="G268" s="55"/>
      <c r="H268" s="55"/>
      <c r="I268" s="56"/>
    </row>
    <row r="269" customFormat="false" ht="12.8" hidden="false" customHeight="true" outlineLevel="0" collapsed="false">
      <c r="A269" s="44" t="n">
        <v>240</v>
      </c>
      <c r="B269" s="38"/>
      <c r="C269" s="48"/>
      <c r="D269" s="45"/>
      <c r="E269" s="53"/>
      <c r="F269" s="51"/>
      <c r="G269" s="55"/>
      <c r="H269" s="55"/>
      <c r="I269" s="56"/>
    </row>
    <row r="270" customFormat="false" ht="12.8" hidden="false" customHeight="true" outlineLevel="0" collapsed="false">
      <c r="A270" s="44" t="n">
        <v>241</v>
      </c>
      <c r="B270" s="38"/>
      <c r="C270" s="48"/>
      <c r="D270" s="45"/>
      <c r="E270" s="53"/>
      <c r="F270" s="51"/>
      <c r="G270" s="55"/>
      <c r="H270" s="55"/>
      <c r="I270" s="56"/>
    </row>
    <row r="271" customFormat="false" ht="12.8" hidden="false" customHeight="true" outlineLevel="0" collapsed="false">
      <c r="A271" s="44" t="n">
        <v>242</v>
      </c>
      <c r="B271" s="38"/>
      <c r="C271" s="48"/>
      <c r="D271" s="45"/>
      <c r="E271" s="53"/>
      <c r="F271" s="51"/>
      <c r="G271" s="55"/>
      <c r="H271" s="55"/>
      <c r="I271" s="56"/>
    </row>
    <row r="272" customFormat="false" ht="12.8" hidden="false" customHeight="true" outlineLevel="0" collapsed="false">
      <c r="A272" s="44" t="n">
        <v>243</v>
      </c>
      <c r="B272" s="38"/>
      <c r="C272" s="48"/>
      <c r="D272" s="45"/>
      <c r="E272" s="53"/>
      <c r="F272" s="51"/>
      <c r="G272" s="55"/>
      <c r="H272" s="55"/>
      <c r="I272" s="56"/>
    </row>
    <row r="273" customFormat="false" ht="12.8" hidden="false" customHeight="true" outlineLevel="0" collapsed="false">
      <c r="A273" s="44" t="n">
        <v>244</v>
      </c>
      <c r="B273" s="38"/>
      <c r="C273" s="48"/>
      <c r="D273" s="45"/>
      <c r="E273" s="53"/>
      <c r="F273" s="51"/>
      <c r="G273" s="55"/>
      <c r="H273" s="55"/>
      <c r="I273" s="56"/>
    </row>
    <row r="274" customFormat="false" ht="12.8" hidden="false" customHeight="true" outlineLevel="0" collapsed="false">
      <c r="A274" s="44" t="n">
        <v>245</v>
      </c>
      <c r="B274" s="38"/>
      <c r="C274" s="48"/>
      <c r="D274" s="45"/>
      <c r="E274" s="53"/>
      <c r="F274" s="51"/>
      <c r="G274" s="55"/>
      <c r="H274" s="55"/>
      <c r="I274" s="56"/>
    </row>
    <row r="275" customFormat="false" ht="12.8" hidden="false" customHeight="true" outlineLevel="0" collapsed="false">
      <c r="A275" s="44" t="n">
        <v>246</v>
      </c>
      <c r="B275" s="38"/>
      <c r="C275" s="48"/>
      <c r="D275" s="45"/>
      <c r="E275" s="53"/>
      <c r="F275" s="51"/>
      <c r="G275" s="55"/>
      <c r="H275" s="55"/>
      <c r="I275" s="56"/>
    </row>
    <row r="276" customFormat="false" ht="12.8" hidden="false" customHeight="true" outlineLevel="0" collapsed="false">
      <c r="A276" s="44" t="n">
        <v>247</v>
      </c>
      <c r="B276" s="38"/>
      <c r="C276" s="48"/>
      <c r="D276" s="45"/>
      <c r="E276" s="53"/>
      <c r="F276" s="51"/>
      <c r="G276" s="55"/>
      <c r="H276" s="55"/>
      <c r="I276" s="56"/>
    </row>
    <row r="277" customFormat="false" ht="12.8" hidden="false" customHeight="true" outlineLevel="0" collapsed="false">
      <c r="A277" s="44" t="n">
        <v>248</v>
      </c>
      <c r="B277" s="38"/>
      <c r="C277" s="48"/>
      <c r="D277" s="45"/>
      <c r="E277" s="53"/>
      <c r="F277" s="51"/>
      <c r="G277" s="55"/>
      <c r="H277" s="55"/>
      <c r="I277" s="56"/>
    </row>
    <row r="278" customFormat="false" ht="12.8" hidden="false" customHeight="true" outlineLevel="0" collapsed="false">
      <c r="A278" s="44" t="n">
        <v>249</v>
      </c>
      <c r="B278" s="38"/>
      <c r="C278" s="48"/>
      <c r="D278" s="45"/>
      <c r="E278" s="53"/>
      <c r="F278" s="51"/>
      <c r="G278" s="55"/>
      <c r="H278" s="55"/>
      <c r="I278" s="56"/>
    </row>
    <row r="279" customFormat="false" ht="12.8" hidden="false" customHeight="true" outlineLevel="0" collapsed="false">
      <c r="A279" s="44" t="n">
        <v>250</v>
      </c>
      <c r="B279" s="38"/>
      <c r="C279" s="48"/>
      <c r="D279" s="45"/>
      <c r="E279" s="53"/>
      <c r="F279" s="51"/>
      <c r="G279" s="55"/>
      <c r="H279" s="55"/>
      <c r="I279" s="56"/>
    </row>
    <row r="280" customFormat="false" ht="12.8" hidden="false" customHeight="true" outlineLevel="0" collapsed="false">
      <c r="A280" s="44" t="n">
        <v>251</v>
      </c>
      <c r="B280" s="38"/>
      <c r="C280" s="48"/>
      <c r="D280" s="45"/>
      <c r="E280" s="53"/>
      <c r="F280" s="51"/>
      <c r="G280" s="55"/>
      <c r="H280" s="55"/>
      <c r="I280" s="56"/>
    </row>
    <row r="281" customFormat="false" ht="12.8" hidden="false" customHeight="true" outlineLevel="0" collapsed="false">
      <c r="A281" s="44" t="n">
        <v>252</v>
      </c>
      <c r="B281" s="38"/>
      <c r="C281" s="48"/>
      <c r="D281" s="45"/>
      <c r="E281" s="53"/>
      <c r="F281" s="51"/>
      <c r="G281" s="55"/>
      <c r="H281" s="55"/>
      <c r="I281" s="56"/>
    </row>
    <row r="282" customFormat="false" ht="12.8" hidden="false" customHeight="true" outlineLevel="0" collapsed="false">
      <c r="A282" s="44" t="n">
        <v>253</v>
      </c>
      <c r="B282" s="38"/>
      <c r="C282" s="48"/>
      <c r="D282" s="45"/>
      <c r="E282" s="53"/>
      <c r="F282" s="51"/>
      <c r="G282" s="55"/>
      <c r="H282" s="55"/>
      <c r="I282" s="56"/>
    </row>
    <row r="283" customFormat="false" ht="12.8" hidden="false" customHeight="true" outlineLevel="0" collapsed="false">
      <c r="A283" s="44" t="n">
        <v>254</v>
      </c>
      <c r="B283" s="38"/>
      <c r="C283" s="48"/>
      <c r="D283" s="45"/>
      <c r="E283" s="53"/>
      <c r="F283" s="51"/>
      <c r="G283" s="55"/>
      <c r="H283" s="55"/>
      <c r="I283" s="56"/>
    </row>
    <row r="284" customFormat="false" ht="12.8" hidden="false" customHeight="true" outlineLevel="0" collapsed="false">
      <c r="A284" s="44" t="n">
        <v>255</v>
      </c>
      <c r="B284" s="38"/>
      <c r="C284" s="48"/>
      <c r="D284" s="45"/>
      <c r="E284" s="53"/>
      <c r="F284" s="51"/>
      <c r="G284" s="55"/>
      <c r="H284" s="55"/>
      <c r="I284" s="56"/>
    </row>
    <row r="285" customFormat="false" ht="12.8" hidden="false" customHeight="true" outlineLevel="0" collapsed="false">
      <c r="A285" s="44" t="n">
        <v>256</v>
      </c>
      <c r="B285" s="38"/>
      <c r="C285" s="48"/>
      <c r="D285" s="45"/>
      <c r="E285" s="53"/>
      <c r="F285" s="51"/>
      <c r="G285" s="55"/>
      <c r="H285" s="55"/>
      <c r="I285" s="56"/>
    </row>
    <row r="286" customFormat="false" ht="12.8" hidden="false" customHeight="true" outlineLevel="0" collapsed="false">
      <c r="A286" s="44" t="n">
        <v>257</v>
      </c>
      <c r="B286" s="38"/>
      <c r="C286" s="48"/>
      <c r="D286" s="45"/>
      <c r="E286" s="53"/>
      <c r="F286" s="51"/>
      <c r="G286" s="55"/>
      <c r="H286" s="55"/>
      <c r="I286" s="56"/>
    </row>
    <row r="287" customFormat="false" ht="12.8" hidden="false" customHeight="true" outlineLevel="0" collapsed="false">
      <c r="A287" s="44" t="n">
        <v>258</v>
      </c>
      <c r="B287" s="38"/>
      <c r="C287" s="48"/>
      <c r="D287" s="45"/>
      <c r="E287" s="53"/>
      <c r="F287" s="51"/>
      <c r="G287" s="55"/>
      <c r="H287" s="55"/>
      <c r="I287" s="56"/>
    </row>
    <row r="288" customFormat="false" ht="12.8" hidden="false" customHeight="true" outlineLevel="0" collapsed="false">
      <c r="A288" s="44" t="n">
        <v>259</v>
      </c>
      <c r="B288" s="38"/>
      <c r="C288" s="48"/>
      <c r="D288" s="45"/>
      <c r="E288" s="53"/>
      <c r="F288" s="51"/>
      <c r="G288" s="55"/>
      <c r="H288" s="55"/>
      <c r="I288" s="56"/>
    </row>
    <row r="289" customFormat="false" ht="12.8" hidden="false" customHeight="true" outlineLevel="0" collapsed="false">
      <c r="A289" s="44" t="n">
        <v>260</v>
      </c>
      <c r="B289" s="38"/>
      <c r="C289" s="48"/>
      <c r="D289" s="45"/>
      <c r="E289" s="53"/>
      <c r="F289" s="51"/>
      <c r="G289" s="55"/>
      <c r="H289" s="55"/>
      <c r="I289" s="56"/>
    </row>
    <row r="290" customFormat="false" ht="12.8" hidden="false" customHeight="true" outlineLevel="0" collapsed="false">
      <c r="A290" s="44" t="n">
        <v>261</v>
      </c>
      <c r="B290" s="38"/>
      <c r="C290" s="48"/>
      <c r="D290" s="45"/>
      <c r="E290" s="53"/>
      <c r="F290" s="51"/>
      <c r="G290" s="55"/>
      <c r="H290" s="55"/>
      <c r="I290" s="56"/>
    </row>
    <row r="291" customFormat="false" ht="12.8" hidden="false" customHeight="true" outlineLevel="0" collapsed="false">
      <c r="A291" s="44" t="n">
        <v>262</v>
      </c>
      <c r="B291" s="38"/>
      <c r="C291" s="48"/>
      <c r="D291" s="45"/>
      <c r="E291" s="53"/>
      <c r="F291" s="51"/>
      <c r="G291" s="55"/>
      <c r="H291" s="55"/>
      <c r="I291" s="56"/>
    </row>
    <row r="292" customFormat="false" ht="12.75" hidden="false" customHeight="true" outlineLevel="0" collapsed="false">
      <c r="A292" s="44" t="n">
        <v>263</v>
      </c>
      <c r="B292" s="38"/>
      <c r="C292" s="48"/>
      <c r="D292" s="45"/>
      <c r="E292" s="53"/>
      <c r="F292" s="51"/>
      <c r="G292" s="55"/>
      <c r="H292" s="55"/>
      <c r="I292" s="56"/>
    </row>
    <row r="293" customFormat="false" ht="12.75" hidden="false" customHeight="true" outlineLevel="0" collapsed="false">
      <c r="A293" s="44" t="n">
        <v>264</v>
      </c>
      <c r="B293" s="38"/>
      <c r="C293" s="48"/>
      <c r="D293" s="45"/>
      <c r="E293" s="53"/>
      <c r="F293" s="51"/>
      <c r="G293" s="55"/>
      <c r="H293" s="55"/>
      <c r="I293" s="56"/>
    </row>
    <row r="294" customFormat="false" ht="12.75" hidden="false" customHeight="true" outlineLevel="0" collapsed="false">
      <c r="A294" s="44" t="n">
        <v>265</v>
      </c>
      <c r="B294" s="38"/>
      <c r="C294" s="48"/>
      <c r="D294" s="45"/>
      <c r="E294" s="53"/>
      <c r="F294" s="51"/>
      <c r="G294" s="55"/>
      <c r="H294" s="55"/>
      <c r="I294" s="56"/>
    </row>
    <row r="295" customFormat="false" ht="12.75" hidden="false" customHeight="true" outlineLevel="0" collapsed="false">
      <c r="A295" s="44" t="n">
        <v>266</v>
      </c>
      <c r="B295" s="38"/>
      <c r="C295" s="48"/>
      <c r="D295" s="45"/>
      <c r="E295" s="53"/>
      <c r="F295" s="51"/>
      <c r="G295" s="55"/>
      <c r="H295" s="55"/>
      <c r="I295" s="56"/>
    </row>
    <row r="296" customFormat="false" ht="12.75" hidden="false" customHeight="true" outlineLevel="0" collapsed="false">
      <c r="A296" s="44" t="n">
        <v>267</v>
      </c>
      <c r="B296" s="38"/>
      <c r="C296" s="48"/>
      <c r="D296" s="45"/>
      <c r="E296" s="53"/>
      <c r="F296" s="51"/>
      <c r="G296" s="55"/>
      <c r="H296" s="55"/>
      <c r="I296" s="56"/>
    </row>
    <row r="297" customFormat="false" ht="12.75" hidden="false" customHeight="true" outlineLevel="0" collapsed="false">
      <c r="A297" s="44" t="n">
        <v>268</v>
      </c>
      <c r="B297" s="38"/>
      <c r="C297" s="48"/>
      <c r="D297" s="45"/>
      <c r="E297" s="53"/>
      <c r="F297" s="51"/>
      <c r="G297" s="55"/>
      <c r="H297" s="55"/>
      <c r="I297" s="56"/>
    </row>
    <row r="298" customFormat="false" ht="12.75" hidden="false" customHeight="true" outlineLevel="0" collapsed="false">
      <c r="A298" s="44" t="n">
        <v>269</v>
      </c>
      <c r="B298" s="38"/>
      <c r="C298" s="48"/>
      <c r="D298" s="45"/>
      <c r="E298" s="53"/>
      <c r="F298" s="51"/>
      <c r="G298" s="55"/>
      <c r="H298" s="55"/>
      <c r="I298" s="56"/>
    </row>
    <row r="299" customFormat="false" ht="12.75" hidden="false" customHeight="true" outlineLevel="0" collapsed="false">
      <c r="A299" s="44" t="n">
        <v>270</v>
      </c>
      <c r="B299" s="38"/>
      <c r="C299" s="48"/>
      <c r="D299" s="45"/>
      <c r="E299" s="53"/>
      <c r="F299" s="51"/>
      <c r="G299" s="55"/>
      <c r="H299" s="55"/>
      <c r="I299" s="56"/>
    </row>
    <row r="300" customFormat="false" ht="12.75" hidden="false" customHeight="true" outlineLevel="0" collapsed="false">
      <c r="A300" s="44" t="n">
        <v>271</v>
      </c>
      <c r="B300" s="38"/>
      <c r="C300" s="48"/>
      <c r="D300" s="45"/>
      <c r="E300" s="53"/>
      <c r="F300" s="51"/>
      <c r="G300" s="55"/>
      <c r="H300" s="55"/>
      <c r="I300" s="56"/>
    </row>
    <row r="301" customFormat="false" ht="12.75" hidden="false" customHeight="true" outlineLevel="0" collapsed="false">
      <c r="A301" s="44" t="n">
        <v>272</v>
      </c>
      <c r="B301" s="38"/>
      <c r="C301" s="48"/>
      <c r="D301" s="45"/>
      <c r="E301" s="53"/>
      <c r="F301" s="51"/>
      <c r="G301" s="55"/>
      <c r="H301" s="55"/>
      <c r="I301" s="56"/>
    </row>
    <row r="302" customFormat="false" ht="12.75" hidden="false" customHeight="true" outlineLevel="0" collapsed="false">
      <c r="A302" s="44" t="n">
        <v>273</v>
      </c>
      <c r="B302" s="38"/>
      <c r="C302" s="48"/>
      <c r="D302" s="45"/>
      <c r="E302" s="53"/>
      <c r="F302" s="51"/>
      <c r="G302" s="55"/>
      <c r="H302" s="55"/>
      <c r="I302" s="56"/>
    </row>
    <row r="303" customFormat="false" ht="12.75" hidden="false" customHeight="true" outlineLevel="0" collapsed="false">
      <c r="A303" s="44" t="n">
        <v>274</v>
      </c>
      <c r="B303" s="38"/>
      <c r="C303" s="48"/>
      <c r="D303" s="45"/>
      <c r="E303" s="53"/>
      <c r="F303" s="51"/>
      <c r="G303" s="55"/>
      <c r="H303" s="55"/>
      <c r="I303" s="56"/>
    </row>
    <row r="304" customFormat="false" ht="12.75" hidden="false" customHeight="true" outlineLevel="0" collapsed="false">
      <c r="A304" s="44" t="n">
        <v>275</v>
      </c>
      <c r="B304" s="38"/>
      <c r="C304" s="48"/>
      <c r="D304" s="45"/>
      <c r="E304" s="53"/>
      <c r="F304" s="51"/>
      <c r="G304" s="55"/>
      <c r="H304" s="55"/>
      <c r="I304" s="56"/>
    </row>
    <row r="305" customFormat="false" ht="12.75" hidden="false" customHeight="true" outlineLevel="0" collapsed="false">
      <c r="A305" s="44" t="n">
        <v>276</v>
      </c>
      <c r="B305" s="38"/>
      <c r="C305" s="48"/>
      <c r="D305" s="45"/>
      <c r="E305" s="53"/>
      <c r="F305" s="51"/>
      <c r="G305" s="55"/>
      <c r="H305" s="55"/>
      <c r="I305" s="56"/>
    </row>
    <row r="306" customFormat="false" ht="12.75" hidden="false" customHeight="true" outlineLevel="0" collapsed="false">
      <c r="A306" s="44" t="n">
        <v>277</v>
      </c>
      <c r="B306" s="38"/>
      <c r="C306" s="48"/>
      <c r="D306" s="45"/>
      <c r="E306" s="53"/>
      <c r="F306" s="51"/>
      <c r="G306" s="55"/>
      <c r="H306" s="55"/>
      <c r="I306" s="56"/>
    </row>
    <row r="307" customFormat="false" ht="12.75" hidden="false" customHeight="true" outlineLevel="0" collapsed="false">
      <c r="A307" s="44" t="n">
        <v>278</v>
      </c>
      <c r="B307" s="38"/>
      <c r="C307" s="48"/>
      <c r="D307" s="45"/>
      <c r="E307" s="53"/>
      <c r="F307" s="51"/>
      <c r="G307" s="55"/>
      <c r="H307" s="55"/>
      <c r="I307" s="56"/>
    </row>
    <row r="308" customFormat="false" ht="12.75" hidden="false" customHeight="true" outlineLevel="0" collapsed="false">
      <c r="A308" s="44" t="n">
        <v>279</v>
      </c>
      <c r="B308" s="38"/>
      <c r="C308" s="48"/>
      <c r="D308" s="45"/>
      <c r="E308" s="53"/>
      <c r="F308" s="51"/>
      <c r="G308" s="55"/>
      <c r="H308" s="55"/>
      <c r="I308" s="56"/>
    </row>
    <row r="309" customFormat="false" ht="12.75" hidden="false" customHeight="true" outlineLevel="0" collapsed="false">
      <c r="A309" s="44" t="n">
        <v>280</v>
      </c>
      <c r="B309" s="38"/>
      <c r="C309" s="48"/>
      <c r="D309" s="45"/>
      <c r="E309" s="53"/>
      <c r="F309" s="51"/>
      <c r="G309" s="55"/>
      <c r="H309" s="55"/>
      <c r="I309" s="56"/>
    </row>
    <row r="310" customFormat="false" ht="12.75" hidden="false" customHeight="true" outlineLevel="0" collapsed="false">
      <c r="A310" s="44" t="n">
        <v>281</v>
      </c>
      <c r="B310" s="38"/>
      <c r="C310" s="48"/>
      <c r="D310" s="45"/>
      <c r="E310" s="53"/>
      <c r="F310" s="51"/>
      <c r="G310" s="55"/>
      <c r="H310" s="55"/>
      <c r="I310" s="56"/>
    </row>
    <row r="311" customFormat="false" ht="12.75" hidden="false" customHeight="true" outlineLevel="0" collapsed="false">
      <c r="A311" s="44" t="n">
        <v>282</v>
      </c>
      <c r="B311" s="38"/>
      <c r="C311" s="48"/>
      <c r="D311" s="45"/>
      <c r="E311" s="53"/>
      <c r="F311" s="51"/>
      <c r="G311" s="55"/>
      <c r="H311" s="55"/>
      <c r="I311" s="56"/>
    </row>
    <row r="312" customFormat="false" ht="12.75" hidden="false" customHeight="true" outlineLevel="0" collapsed="false">
      <c r="A312" s="44" t="n">
        <v>283</v>
      </c>
      <c r="B312" s="38"/>
      <c r="C312" s="48"/>
      <c r="D312" s="45"/>
      <c r="E312" s="53"/>
      <c r="F312" s="51"/>
      <c r="G312" s="55"/>
      <c r="H312" s="55"/>
      <c r="I312" s="56"/>
    </row>
    <row r="313" customFormat="false" ht="12.75" hidden="false" customHeight="true" outlineLevel="0" collapsed="false">
      <c r="A313" s="44" t="n">
        <v>284</v>
      </c>
      <c r="B313" s="38"/>
      <c r="C313" s="48"/>
      <c r="D313" s="45"/>
      <c r="E313" s="53"/>
      <c r="F313" s="51"/>
      <c r="G313" s="55"/>
      <c r="H313" s="55"/>
      <c r="I313" s="56"/>
    </row>
    <row r="314" customFormat="false" ht="12.75" hidden="false" customHeight="true" outlineLevel="0" collapsed="false">
      <c r="A314" s="44" t="n">
        <v>285</v>
      </c>
      <c r="B314" s="38"/>
      <c r="C314" s="48"/>
      <c r="D314" s="45"/>
      <c r="E314" s="53"/>
      <c r="F314" s="51"/>
      <c r="G314" s="55"/>
      <c r="H314" s="55"/>
      <c r="I314" s="56"/>
    </row>
    <row r="315" customFormat="false" ht="12.75" hidden="false" customHeight="true" outlineLevel="0" collapsed="false">
      <c r="A315" s="44" t="n">
        <v>286</v>
      </c>
      <c r="B315" s="38"/>
      <c r="C315" s="48"/>
      <c r="D315" s="45"/>
      <c r="E315" s="53"/>
      <c r="F315" s="51"/>
      <c r="G315" s="55"/>
      <c r="H315" s="55"/>
      <c r="I315" s="56"/>
    </row>
    <row r="316" customFormat="false" ht="12.75" hidden="false" customHeight="true" outlineLevel="0" collapsed="false">
      <c r="A316" s="44" t="n">
        <v>287</v>
      </c>
      <c r="B316" s="38"/>
      <c r="C316" s="48"/>
      <c r="D316" s="45"/>
      <c r="E316" s="53"/>
      <c r="F316" s="51"/>
      <c r="G316" s="55"/>
      <c r="H316" s="55"/>
      <c r="I316" s="56"/>
    </row>
    <row r="317" customFormat="false" ht="12.75" hidden="false" customHeight="true" outlineLevel="0" collapsed="false">
      <c r="A317" s="44" t="n">
        <v>288</v>
      </c>
      <c r="B317" s="38"/>
      <c r="C317" s="48"/>
      <c r="D317" s="45"/>
      <c r="E317" s="53"/>
      <c r="F317" s="51"/>
      <c r="G317" s="55"/>
      <c r="H317" s="55"/>
      <c r="I317" s="56"/>
    </row>
    <row r="318" customFormat="false" ht="12.75" hidden="false" customHeight="true" outlineLevel="0" collapsed="false">
      <c r="A318" s="44" t="n">
        <v>289</v>
      </c>
      <c r="B318" s="38"/>
      <c r="C318" s="48"/>
      <c r="D318" s="45"/>
      <c r="E318" s="53"/>
      <c r="F318" s="51"/>
      <c r="G318" s="55"/>
      <c r="H318" s="55"/>
      <c r="I318" s="56"/>
    </row>
    <row r="319" customFormat="false" ht="12.75" hidden="false" customHeight="true" outlineLevel="0" collapsed="false">
      <c r="A319" s="44" t="n">
        <v>290</v>
      </c>
      <c r="B319" s="38"/>
      <c r="C319" s="48"/>
      <c r="D319" s="45"/>
      <c r="E319" s="53"/>
      <c r="F319" s="51"/>
      <c r="G319" s="55"/>
      <c r="H319" s="55"/>
      <c r="I319" s="56"/>
    </row>
    <row r="320" customFormat="false" ht="12.75" hidden="false" customHeight="true" outlineLevel="0" collapsed="false">
      <c r="A320" s="44" t="n">
        <v>291</v>
      </c>
      <c r="B320" s="38"/>
      <c r="C320" s="48"/>
      <c r="D320" s="45"/>
      <c r="E320" s="53"/>
      <c r="F320" s="51"/>
      <c r="G320" s="55"/>
      <c r="H320" s="55"/>
      <c r="I320" s="56"/>
    </row>
    <row r="321" customFormat="false" ht="12.75" hidden="false" customHeight="true" outlineLevel="0" collapsed="false">
      <c r="A321" s="44" t="n">
        <v>292</v>
      </c>
      <c r="B321" s="38"/>
      <c r="C321" s="48"/>
      <c r="D321" s="45"/>
      <c r="E321" s="53"/>
      <c r="F321" s="51"/>
      <c r="G321" s="55"/>
      <c r="H321" s="55"/>
      <c r="I321" s="56"/>
    </row>
    <row r="322" customFormat="false" ht="12.75" hidden="false" customHeight="true" outlineLevel="0" collapsed="false">
      <c r="A322" s="44" t="n">
        <v>293</v>
      </c>
      <c r="B322" s="38"/>
      <c r="C322" s="48"/>
      <c r="D322" s="45"/>
      <c r="E322" s="53"/>
      <c r="F322" s="51"/>
      <c r="G322" s="55"/>
      <c r="H322" s="55"/>
      <c r="I322" s="56"/>
    </row>
    <row r="323" customFormat="false" ht="12.75" hidden="false" customHeight="true" outlineLevel="0" collapsed="false">
      <c r="A323" s="44" t="n">
        <v>294</v>
      </c>
      <c r="B323" s="38"/>
      <c r="C323" s="48"/>
      <c r="D323" s="45"/>
      <c r="E323" s="53"/>
      <c r="F323" s="51"/>
      <c r="G323" s="55"/>
      <c r="H323" s="55"/>
      <c r="I323" s="56"/>
    </row>
    <row r="324" customFormat="false" ht="12.75" hidden="false" customHeight="true" outlineLevel="0" collapsed="false">
      <c r="A324" s="44" t="n">
        <v>295</v>
      </c>
      <c r="B324" s="38"/>
      <c r="C324" s="48"/>
      <c r="D324" s="45"/>
      <c r="E324" s="53"/>
      <c r="F324" s="51"/>
      <c r="G324" s="55"/>
      <c r="H324" s="55"/>
      <c r="I324" s="56"/>
    </row>
    <row r="325" customFormat="false" ht="12.75" hidden="false" customHeight="true" outlineLevel="0" collapsed="false">
      <c r="A325" s="44" t="n">
        <v>296</v>
      </c>
      <c r="B325" s="38"/>
      <c r="C325" s="48"/>
      <c r="D325" s="45"/>
      <c r="E325" s="53"/>
      <c r="F325" s="51"/>
      <c r="G325" s="55"/>
      <c r="H325" s="55"/>
      <c r="I325" s="56"/>
    </row>
    <row r="326" customFormat="false" ht="12.75" hidden="false" customHeight="true" outlineLevel="0" collapsed="false">
      <c r="A326" s="44" t="n">
        <v>297</v>
      </c>
      <c r="B326" s="38"/>
      <c r="C326" s="48"/>
      <c r="D326" s="45"/>
      <c r="E326" s="53"/>
      <c r="F326" s="51"/>
      <c r="G326" s="55"/>
      <c r="H326" s="55"/>
      <c r="I326" s="56"/>
    </row>
    <row r="327" customFormat="false" ht="12.8" hidden="false" customHeight="true" outlineLevel="0" collapsed="false">
      <c r="A327" s="44" t="n">
        <v>298</v>
      </c>
      <c r="B327" s="38"/>
      <c r="C327" s="48"/>
      <c r="D327" s="45"/>
      <c r="E327" s="53"/>
      <c r="F327" s="51"/>
      <c r="G327" s="55"/>
      <c r="H327" s="55"/>
      <c r="I327" s="56"/>
    </row>
    <row r="328" customFormat="false" ht="12.8" hidden="false" customHeight="true" outlineLevel="0" collapsed="false">
      <c r="A328" s="44" t="n">
        <v>299</v>
      </c>
      <c r="B328" s="38"/>
      <c r="C328" s="48"/>
      <c r="D328" s="45"/>
      <c r="E328" s="53"/>
      <c r="F328" s="51"/>
      <c r="G328" s="55"/>
      <c r="H328" s="55"/>
      <c r="I328" s="56"/>
    </row>
    <row r="329" customFormat="false" ht="12.8" hidden="false" customHeight="true" outlineLevel="0" collapsed="false">
      <c r="A329" s="44" t="n">
        <v>300</v>
      </c>
      <c r="B329" s="38"/>
      <c r="C329" s="48"/>
      <c r="D329" s="45"/>
      <c r="E329" s="53"/>
      <c r="F329" s="51"/>
      <c r="G329" s="55"/>
      <c r="H329" s="55"/>
      <c r="I329" s="56"/>
    </row>
    <row r="330" customFormat="false" ht="12.8" hidden="false" customHeight="true" outlineLevel="0" collapsed="false">
      <c r="A330" s="44" t="n">
        <v>301</v>
      </c>
      <c r="B330" s="38"/>
      <c r="C330" s="48"/>
      <c r="D330" s="45"/>
      <c r="E330" s="53"/>
      <c r="F330" s="51"/>
      <c r="G330" s="55"/>
      <c r="H330" s="55"/>
      <c r="I330" s="56"/>
    </row>
    <row r="331" customFormat="false" ht="12.8" hidden="false" customHeight="true" outlineLevel="0" collapsed="false">
      <c r="A331" s="44" t="n">
        <v>302</v>
      </c>
      <c r="B331" s="38"/>
      <c r="C331" s="48"/>
      <c r="D331" s="45"/>
      <c r="E331" s="53"/>
      <c r="F331" s="51"/>
      <c r="G331" s="55"/>
      <c r="H331" s="57"/>
    </row>
    <row r="332" customFormat="false" ht="12.8" hidden="false" customHeight="true" outlineLevel="0" collapsed="false">
      <c r="A332" s="44" t="n">
        <v>303</v>
      </c>
      <c r="B332" s="38"/>
      <c r="C332" s="48"/>
      <c r="D332" s="45"/>
      <c r="E332" s="53"/>
      <c r="F332" s="51"/>
      <c r="G332" s="55"/>
      <c r="H332" s="57"/>
    </row>
    <row r="333" customFormat="false" ht="12.8" hidden="false" customHeight="true" outlineLevel="0" collapsed="false">
      <c r="A333" s="44" t="n">
        <v>304</v>
      </c>
      <c r="B333" s="38"/>
      <c r="C333" s="48"/>
      <c r="D333" s="45"/>
      <c r="E333" s="53"/>
      <c r="F333" s="51"/>
      <c r="G333" s="55"/>
      <c r="H333" s="57"/>
    </row>
    <row r="334" customFormat="false" ht="12.8" hidden="false" customHeight="true" outlineLevel="0" collapsed="false">
      <c r="A334" s="44" t="n">
        <v>305</v>
      </c>
      <c r="B334" s="38"/>
      <c r="C334" s="48"/>
      <c r="D334" s="45"/>
      <c r="E334" s="53"/>
      <c r="F334" s="51"/>
      <c r="G334" s="55"/>
      <c r="H334" s="57"/>
    </row>
    <row r="335" customFormat="false" ht="12.8" hidden="false" customHeight="true" outlineLevel="0" collapsed="false">
      <c r="A335" s="44" t="n">
        <v>306</v>
      </c>
      <c r="B335" s="38"/>
      <c r="C335" s="48"/>
      <c r="D335" s="45"/>
      <c r="E335" s="53"/>
      <c r="F335" s="51"/>
      <c r="G335" s="55"/>
      <c r="H335" s="57"/>
    </row>
    <row r="336" customFormat="false" ht="12.8" hidden="false" customHeight="true" outlineLevel="0" collapsed="false">
      <c r="A336" s="44" t="n">
        <v>307</v>
      </c>
      <c r="B336" s="38"/>
      <c r="C336" s="48"/>
      <c r="D336" s="45"/>
      <c r="E336" s="53"/>
      <c r="F336" s="51"/>
      <c r="G336" s="55"/>
      <c r="H336" s="57"/>
    </row>
    <row r="337" customFormat="false" ht="12.8" hidden="false" customHeight="true" outlineLevel="0" collapsed="false">
      <c r="A337" s="44" t="n">
        <v>308</v>
      </c>
      <c r="B337" s="38"/>
      <c r="C337" s="48"/>
      <c r="D337" s="45"/>
      <c r="E337" s="53"/>
      <c r="F337" s="51"/>
      <c r="G337" s="55"/>
      <c r="H337" s="57"/>
    </row>
    <row r="338" customFormat="false" ht="12.8" hidden="false" customHeight="true" outlineLevel="0" collapsed="false">
      <c r="A338" s="44" t="n">
        <v>309</v>
      </c>
      <c r="B338" s="38"/>
      <c r="C338" s="48"/>
      <c r="D338" s="45"/>
      <c r="E338" s="53"/>
      <c r="F338" s="51"/>
      <c r="G338" s="55"/>
      <c r="H338" s="57"/>
    </row>
    <row r="339" customFormat="false" ht="12.8" hidden="false" customHeight="true" outlineLevel="0" collapsed="false">
      <c r="A339" s="44" t="n">
        <v>310</v>
      </c>
      <c r="B339" s="38"/>
      <c r="C339" s="48"/>
      <c r="D339" s="45"/>
      <c r="E339" s="53"/>
      <c r="F339" s="51"/>
      <c r="G339" s="55"/>
      <c r="H339" s="57"/>
    </row>
    <row r="340" customFormat="false" ht="12.8" hidden="false" customHeight="true" outlineLevel="0" collapsed="false">
      <c r="A340" s="44" t="n">
        <v>311</v>
      </c>
      <c r="B340" s="38"/>
      <c r="C340" s="48"/>
      <c r="D340" s="45"/>
      <c r="E340" s="53"/>
      <c r="F340" s="51"/>
      <c r="G340" s="55"/>
      <c r="H340" s="57"/>
    </row>
    <row r="341" customFormat="false" ht="12.8" hidden="false" customHeight="true" outlineLevel="0" collapsed="false">
      <c r="A341" s="44" t="n">
        <v>312</v>
      </c>
      <c r="B341" s="38"/>
      <c r="C341" s="48"/>
      <c r="D341" s="45"/>
      <c r="E341" s="53"/>
      <c r="F341" s="51"/>
      <c r="G341" s="55"/>
      <c r="H341" s="57"/>
    </row>
    <row r="342" customFormat="false" ht="12.8" hidden="false" customHeight="true" outlineLevel="0" collapsed="false">
      <c r="A342" s="44" t="n">
        <v>313</v>
      </c>
      <c r="B342" s="38"/>
      <c r="C342" s="48"/>
      <c r="D342" s="45"/>
      <c r="E342" s="53"/>
      <c r="F342" s="51"/>
      <c r="G342" s="55"/>
      <c r="H342" s="57"/>
    </row>
    <row r="343" customFormat="false" ht="12.8" hidden="false" customHeight="true" outlineLevel="0" collapsed="false">
      <c r="A343" s="44" t="n">
        <v>314</v>
      </c>
      <c r="B343" s="38"/>
      <c r="C343" s="48"/>
      <c r="D343" s="45"/>
      <c r="E343" s="53"/>
      <c r="F343" s="51"/>
      <c r="G343" s="55"/>
      <c r="H343" s="57"/>
    </row>
    <row r="344" customFormat="false" ht="12.8" hidden="false" customHeight="true" outlineLevel="0" collapsed="false">
      <c r="A344" s="44" t="n">
        <v>315</v>
      </c>
      <c r="B344" s="38"/>
      <c r="C344" s="48"/>
      <c r="D344" s="45"/>
      <c r="E344" s="53"/>
      <c r="F344" s="51"/>
      <c r="G344" s="55"/>
      <c r="H344" s="57"/>
    </row>
    <row r="345" customFormat="false" ht="12.8" hidden="false" customHeight="true" outlineLevel="0" collapsed="false">
      <c r="A345" s="44" t="n">
        <v>316</v>
      </c>
      <c r="B345" s="38"/>
      <c r="C345" s="48"/>
      <c r="D345" s="45"/>
      <c r="E345" s="53"/>
      <c r="F345" s="51"/>
      <c r="G345" s="55"/>
      <c r="H345" s="57"/>
    </row>
    <row r="346" customFormat="false" ht="12.8" hidden="false" customHeight="true" outlineLevel="0" collapsed="false">
      <c r="A346" s="44" t="n">
        <v>317</v>
      </c>
      <c r="B346" s="38"/>
      <c r="C346" s="48"/>
      <c r="D346" s="45"/>
      <c r="E346" s="53"/>
      <c r="F346" s="51"/>
      <c r="G346" s="55"/>
      <c r="H346" s="57"/>
    </row>
    <row r="347" customFormat="false" ht="12.8" hidden="false" customHeight="true" outlineLevel="0" collapsed="false">
      <c r="A347" s="44" t="n">
        <v>318</v>
      </c>
      <c r="B347" s="38"/>
      <c r="C347" s="48"/>
      <c r="D347" s="45"/>
      <c r="E347" s="53"/>
      <c r="F347" s="51"/>
      <c r="G347" s="55"/>
      <c r="H347" s="57"/>
    </row>
    <row r="348" customFormat="false" ht="12.8" hidden="false" customHeight="true" outlineLevel="0" collapsed="false">
      <c r="A348" s="44" t="n">
        <v>319</v>
      </c>
      <c r="B348" s="38"/>
      <c r="C348" s="48"/>
      <c r="D348" s="45"/>
      <c r="E348" s="53"/>
      <c r="F348" s="51"/>
      <c r="G348" s="55"/>
      <c r="H348" s="57"/>
    </row>
    <row r="349" customFormat="false" ht="12.8" hidden="false" customHeight="true" outlineLevel="0" collapsed="false">
      <c r="A349" s="44" t="n">
        <v>320</v>
      </c>
      <c r="B349" s="38"/>
      <c r="C349" s="48"/>
      <c r="D349" s="45"/>
      <c r="E349" s="53"/>
      <c r="F349" s="51"/>
      <c r="G349" s="55"/>
      <c r="H349" s="57"/>
    </row>
    <row r="350" customFormat="false" ht="12.8" hidden="false" customHeight="true" outlineLevel="0" collapsed="false">
      <c r="A350" s="44" t="n">
        <v>321</v>
      </c>
      <c r="B350" s="38"/>
      <c r="C350" s="48"/>
      <c r="D350" s="45"/>
      <c r="E350" s="53"/>
      <c r="F350" s="51"/>
      <c r="G350" s="55"/>
      <c r="H350" s="57"/>
    </row>
  </sheetData>
  <mergeCells count="346">
    <mergeCell ref="A1:A26"/>
    <mergeCell ref="B1:H1"/>
    <mergeCell ref="I1:K1"/>
    <mergeCell ref="B2:G5"/>
    <mergeCell ref="H2:H5"/>
    <mergeCell ref="I2:K3"/>
    <mergeCell ref="I4:K5"/>
    <mergeCell ref="B6:H7"/>
    <mergeCell ref="I6:K8"/>
    <mergeCell ref="C8:H8"/>
    <mergeCell ref="C9:E9"/>
    <mergeCell ref="G9:H9"/>
    <mergeCell ref="I9:K14"/>
    <mergeCell ref="C10:E10"/>
    <mergeCell ref="G10:H10"/>
    <mergeCell ref="C11:E11"/>
    <mergeCell ref="G11:H11"/>
    <mergeCell ref="C12:E12"/>
    <mergeCell ref="G12:H12"/>
    <mergeCell ref="C13:E13"/>
    <mergeCell ref="G13:H13"/>
    <mergeCell ref="B14:H14"/>
    <mergeCell ref="C15:H15"/>
    <mergeCell ref="C16:E16"/>
    <mergeCell ref="G16:H16"/>
    <mergeCell ref="C17:E17"/>
    <mergeCell ref="G17:H17"/>
    <mergeCell ref="C18:E18"/>
    <mergeCell ref="G18:H18"/>
    <mergeCell ref="I18:K28"/>
    <mergeCell ref="B19:H20"/>
    <mergeCell ref="C21:E21"/>
    <mergeCell ref="F21:H26"/>
    <mergeCell ref="C22:E22"/>
    <mergeCell ref="C23:E23"/>
    <mergeCell ref="C24:E24"/>
    <mergeCell ref="C25:E25"/>
    <mergeCell ref="C26:E26"/>
    <mergeCell ref="A27:H28"/>
    <mergeCell ref="G29:H29"/>
    <mergeCell ref="I29:K29"/>
    <mergeCell ref="G30:H30"/>
    <mergeCell ref="I30:K36"/>
    <mergeCell ref="G31:H31"/>
    <mergeCell ref="G32:H32"/>
    <mergeCell ref="G33:H33"/>
    <mergeCell ref="G34:H34"/>
    <mergeCell ref="G35:H35"/>
    <mergeCell ref="G36:H36"/>
    <mergeCell ref="G37:H37"/>
    <mergeCell ref="I37:K37"/>
    <mergeCell ref="G38:H38"/>
    <mergeCell ref="I38:K40"/>
    <mergeCell ref="G39:H39"/>
    <mergeCell ref="G40:H40"/>
    <mergeCell ref="G41:H41"/>
    <mergeCell ref="I41:K230"/>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 ref="G231:H231"/>
    <mergeCell ref="G232:H232"/>
    <mergeCell ref="G233:H233"/>
    <mergeCell ref="G234:H234"/>
    <mergeCell ref="G235:H235"/>
    <mergeCell ref="G236:H236"/>
    <mergeCell ref="G237:H237"/>
    <mergeCell ref="G238:H238"/>
    <mergeCell ref="G239:H239"/>
    <mergeCell ref="G240:H240"/>
    <mergeCell ref="G241:H241"/>
    <mergeCell ref="G242:H242"/>
    <mergeCell ref="G243:H243"/>
    <mergeCell ref="G244:H244"/>
    <mergeCell ref="G245:H245"/>
    <mergeCell ref="G246:H246"/>
    <mergeCell ref="G247:H247"/>
    <mergeCell ref="G248:H248"/>
    <mergeCell ref="G249:H249"/>
    <mergeCell ref="G250:H250"/>
    <mergeCell ref="G251:H251"/>
    <mergeCell ref="G252:H252"/>
    <mergeCell ref="G253:H253"/>
    <mergeCell ref="G254:H254"/>
    <mergeCell ref="G255:H255"/>
    <mergeCell ref="G256:H256"/>
    <mergeCell ref="G257:H257"/>
    <mergeCell ref="G258:H258"/>
    <mergeCell ref="G259:H259"/>
    <mergeCell ref="G260:H260"/>
    <mergeCell ref="G261:H261"/>
    <mergeCell ref="G262:H262"/>
    <mergeCell ref="G263:H263"/>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G309:H309"/>
    <mergeCell ref="G310:H310"/>
    <mergeCell ref="G311:H311"/>
    <mergeCell ref="G312:H312"/>
    <mergeCell ref="G313:H313"/>
    <mergeCell ref="G314:H314"/>
    <mergeCell ref="G315:H315"/>
    <mergeCell ref="G316:H316"/>
    <mergeCell ref="G317:H317"/>
    <mergeCell ref="G318:H318"/>
    <mergeCell ref="G319:H319"/>
    <mergeCell ref="G320:H320"/>
    <mergeCell ref="G321:H321"/>
    <mergeCell ref="G322:H322"/>
    <mergeCell ref="G323:H323"/>
    <mergeCell ref="G324:H324"/>
    <mergeCell ref="G325:H325"/>
    <mergeCell ref="G326:H326"/>
    <mergeCell ref="G327:H327"/>
    <mergeCell ref="G328:H328"/>
    <mergeCell ref="G329:H329"/>
    <mergeCell ref="G330:H330"/>
  </mergeCells>
  <conditionalFormatting sqref="E30:E350">
    <cfRule type="expression" priority="2" aboveAverage="0" equalAverage="0" bottom="0" percent="0" rank="0" text="" dxfId="0">
      <formula>NOT(ISERROR(SEARCH("é;è",E30)))</formula>
    </cfRule>
    <cfRule type="expression" priority="3" aboveAverage="0" equalAverage="0" bottom="0" percent="0" rank="0" text="" dxfId="1">
      <formula>"SUM(--(MID(E30,ROW(INDIRECT(""1:""&amp;LEN(E30))),1)={""a"",""b"",""c"",""d"",""e"",""f"",""g"",""h"",""i"",""j"",""k"",""l"",""m"",""n"",""o"",""p"",""q"",""r"",""s"",""t"",""u"",""v"",""w"",""x"",""y"",""z"",""0"",""1"",""2"",""3"",""4"",""5"",""6"",""7"",""8"",""9"","" ""}))&lt;&gt;LEN(E30)"</formula>
    </cfRule>
  </conditionalFormatting>
  <dataValidations count="7">
    <dataValidation allowBlank="false" error="Please only select" operator="between" prompt="&#10;" showDropDown="false" showErrorMessage="true" showInputMessage="false" sqref="F55:F350" type="none">
      <formula1>0</formula1>
      <formula2>0</formula2>
    </dataValidation>
    <dataValidation allowBlank="false" operator="between" showDropDown="false" showErrorMessage="true" showInputMessage="false" sqref="E55:E350" type="none">
      <formula1>0</formula1>
      <formula2>0</formula2>
    </dataValidation>
    <dataValidation allowBlank="false" operator="between" showDropDown="false" showErrorMessage="true" showInputMessage="false" sqref="H2:H5" type="list">
      <formula1>"English,Français"</formula1>
      <formula2>0</formula2>
    </dataValidation>
    <dataValidation allowBlank="false" operator="between" showDropDown="false" showErrorMessage="true" showInputMessage="false" sqref="C30:C350" type="list">
      <formula1>INDIRECT(#ref!)</formula1>
      <formula2>0</formula2>
    </dataValidation>
    <dataValidation allowBlank="false" operator="between" showDropDown="false" showErrorMessage="true" showInputMessage="false" sqref="D30:D350" type="list">
      <formula1>INDIRECT(#ref!&amp;#ref!)</formula1>
      <formula2>0</formula2>
    </dataValidation>
    <dataValidation allowBlank="false" operator="between" showDropDown="false" showErrorMessage="true" showInputMessage="false" sqref="B30:B350" type="list">
      <formula1>Products</formula1>
      <formula2>0</formula2>
    </dataValidation>
    <dataValidation allowBlank="false" operator="between" showDropDown="false" showErrorMessage="true" showInputMessage="false" sqref="G12:H12" type="list">
      <formula1>PAYS</formula1>
      <formula2>0</formula2>
    </dataValidation>
  </dataValidations>
  <printOptions headings="false" gridLines="false" gridLinesSet="true" horizontalCentered="false" verticalCentered="false"/>
  <pageMargins left="0.25" right="0.25" top="0.75" bottom="0.75" header="0.511805555555555"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99"/>
    <pageSetUpPr fitToPage="false"/>
  </sheetPr>
  <dimension ref="A1:AP65"/>
  <sheetViews>
    <sheetView showFormulas="false" showGridLines="true" showRowColHeaders="true" showZeros="true" rightToLeft="false" tabSelected="true" showOutlineSymbols="true" defaultGridColor="true" view="normal" topLeftCell="A1" colorId="64" zoomScale="84" zoomScaleNormal="84" zoomScalePageLayoutView="100" workbookViewId="0">
      <selection pane="topLeft" activeCell="S50" activeCellId="0" sqref="S50"/>
    </sheetView>
  </sheetViews>
  <sheetFormatPr defaultColWidth="9.18359375" defaultRowHeight="12.75" zeroHeight="false" outlineLevelRow="0" outlineLevelCol="0"/>
  <cols>
    <col collapsed="false" customWidth="true" hidden="false" outlineLevel="0" max="2" min="2" style="1" width="29.1"/>
    <col collapsed="false" customWidth="true" hidden="false" outlineLevel="0" max="11" min="11" style="1" width="28.84"/>
    <col collapsed="false" customWidth="true" hidden="false" outlineLevel="0" max="19" min="19" style="1" width="28.84"/>
    <col collapsed="false" customWidth="true" hidden="false" outlineLevel="0" max="23" min="23" style="1" width="28.67"/>
    <col collapsed="false" customWidth="true" hidden="false" outlineLevel="0" max="24" min="24" style="1" width="10.55"/>
  </cols>
  <sheetData>
    <row r="1" customFormat="false" ht="12.75" hidden="false" customHeight="true" outlineLevel="0" collapsed="false">
      <c r="A1" s="58"/>
      <c r="B1" s="5"/>
      <c r="C1" s="5"/>
      <c r="D1" s="5"/>
      <c r="E1" s="5"/>
      <c r="F1" s="5"/>
      <c r="G1" s="5"/>
      <c r="H1" s="5"/>
      <c r="I1" s="5"/>
      <c r="J1" s="5"/>
      <c r="K1" s="5"/>
      <c r="L1" s="5"/>
      <c r="M1" s="5"/>
      <c r="N1" s="5"/>
      <c r="O1" s="58"/>
      <c r="P1" s="58"/>
      <c r="Q1" s="58"/>
      <c r="R1" s="58"/>
      <c r="S1" s="58"/>
      <c r="T1" s="58"/>
      <c r="U1" s="58"/>
      <c r="V1" s="58"/>
      <c r="W1" s="58"/>
      <c r="X1" s="58"/>
      <c r="Y1" s="58"/>
      <c r="Z1" s="59"/>
      <c r="AA1" s="59"/>
      <c r="AB1" s="59"/>
      <c r="AC1" s="59"/>
      <c r="AD1" s="59"/>
      <c r="AE1" s="59"/>
      <c r="AF1" s="59"/>
      <c r="AG1" s="59"/>
      <c r="AH1" s="59"/>
      <c r="AI1" s="59"/>
      <c r="AJ1" s="59"/>
      <c r="AK1" s="59"/>
      <c r="AL1" s="59"/>
      <c r="AM1" s="59"/>
      <c r="AN1" s="59"/>
      <c r="AO1" s="59"/>
      <c r="AP1" s="59"/>
    </row>
    <row r="2" customFormat="false" ht="12.75" hidden="false" customHeight="true" outlineLevel="0" collapsed="false">
      <c r="A2" s="58"/>
      <c r="B2" s="5"/>
      <c r="C2" s="5"/>
      <c r="D2" s="5"/>
      <c r="E2" s="5"/>
      <c r="F2" s="5"/>
      <c r="G2" s="5"/>
      <c r="H2" s="5"/>
      <c r="I2" s="5"/>
      <c r="J2" s="5"/>
      <c r="K2" s="5"/>
      <c r="L2" s="5"/>
      <c r="M2" s="5"/>
      <c r="N2" s="5"/>
      <c r="O2" s="58"/>
      <c r="P2" s="58"/>
      <c r="Q2" s="58"/>
      <c r="R2" s="58"/>
      <c r="S2" s="58"/>
      <c r="T2" s="58"/>
      <c r="U2" s="58"/>
      <c r="V2" s="58"/>
      <c r="W2" s="58"/>
      <c r="X2" s="58"/>
      <c r="Y2" s="58"/>
      <c r="Z2" s="59"/>
      <c r="AA2" s="59"/>
      <c r="AB2" s="59"/>
      <c r="AC2" s="59"/>
      <c r="AD2" s="59"/>
      <c r="AE2" s="59"/>
      <c r="AF2" s="59"/>
      <c r="AG2" s="59"/>
      <c r="AH2" s="59"/>
      <c r="AI2" s="59"/>
      <c r="AJ2" s="59"/>
      <c r="AK2" s="59"/>
      <c r="AL2" s="59"/>
      <c r="AM2" s="59"/>
      <c r="AN2" s="59"/>
      <c r="AO2" s="59"/>
      <c r="AP2" s="59"/>
    </row>
    <row r="3" customFormat="false" ht="12.75" hidden="false" customHeight="true" outlineLevel="0" collapsed="false">
      <c r="A3" s="58"/>
      <c r="B3" s="5"/>
      <c r="C3" s="5"/>
      <c r="D3" s="5"/>
      <c r="E3" s="5"/>
      <c r="F3" s="5"/>
      <c r="G3" s="5"/>
      <c r="H3" s="5"/>
      <c r="I3" s="5"/>
      <c r="J3" s="5"/>
      <c r="K3" s="5"/>
      <c r="L3" s="5"/>
      <c r="M3" s="5"/>
      <c r="N3" s="5"/>
      <c r="O3" s="58"/>
      <c r="P3" s="58"/>
      <c r="Q3" s="58"/>
      <c r="R3" s="58"/>
      <c r="S3" s="58"/>
      <c r="T3" s="58"/>
      <c r="U3" s="58"/>
      <c r="V3" s="58"/>
      <c r="W3" s="58"/>
      <c r="X3" s="58"/>
      <c r="Y3" s="58"/>
      <c r="Z3" s="59"/>
      <c r="AA3" s="59"/>
      <c r="AB3" s="59"/>
      <c r="AC3" s="59"/>
      <c r="AD3" s="59"/>
      <c r="AE3" s="59"/>
      <c r="AF3" s="59"/>
      <c r="AG3" s="59"/>
      <c r="AH3" s="59"/>
      <c r="AI3" s="59"/>
      <c r="AJ3" s="59"/>
      <c r="AK3" s="59"/>
      <c r="AL3" s="59"/>
      <c r="AM3" s="59"/>
      <c r="AN3" s="59"/>
      <c r="AO3" s="59"/>
      <c r="AP3" s="59"/>
    </row>
    <row r="4" customFormat="false" ht="12.75" hidden="false" customHeight="true" outlineLevel="0" collapsed="false">
      <c r="A4" s="58"/>
      <c r="B4" s="5"/>
      <c r="C4" s="5"/>
      <c r="D4" s="5"/>
      <c r="E4" s="5"/>
      <c r="F4" s="5"/>
      <c r="G4" s="5"/>
      <c r="H4" s="5"/>
      <c r="I4" s="5"/>
      <c r="J4" s="5"/>
      <c r="K4" s="5"/>
      <c r="L4" s="5"/>
      <c r="M4" s="5"/>
      <c r="N4" s="5"/>
      <c r="O4" s="58"/>
      <c r="P4" s="58"/>
      <c r="Q4" s="58"/>
      <c r="R4" s="58"/>
      <c r="S4" s="58"/>
      <c r="T4" s="58"/>
      <c r="U4" s="58"/>
      <c r="V4" s="58"/>
      <c r="W4" s="58"/>
      <c r="X4" s="58"/>
      <c r="Y4" s="58"/>
      <c r="Z4" s="59"/>
      <c r="AA4" s="59"/>
      <c r="AB4" s="59"/>
      <c r="AC4" s="59"/>
      <c r="AD4" s="59"/>
      <c r="AE4" s="59"/>
      <c r="AF4" s="59"/>
      <c r="AG4" s="59"/>
      <c r="AH4" s="59"/>
      <c r="AI4" s="59"/>
      <c r="AJ4" s="59"/>
      <c r="AK4" s="59"/>
      <c r="AL4" s="59"/>
      <c r="AM4" s="59"/>
      <c r="AN4" s="59"/>
      <c r="AO4" s="59"/>
      <c r="AP4" s="59"/>
    </row>
    <row r="5" customFormat="false" ht="11.25" hidden="false" customHeight="true" outlineLevel="0" collapsed="false">
      <c r="A5" s="58"/>
      <c r="B5" s="58"/>
      <c r="C5" s="58"/>
      <c r="D5" s="58"/>
      <c r="E5" s="58"/>
      <c r="F5" s="60"/>
      <c r="G5" s="58"/>
      <c r="H5" s="58"/>
      <c r="I5" s="58"/>
      <c r="J5" s="58"/>
      <c r="K5" s="58"/>
      <c r="L5" s="58"/>
      <c r="M5" s="58"/>
      <c r="N5" s="58"/>
      <c r="O5" s="58"/>
      <c r="P5" s="58"/>
      <c r="Q5" s="58"/>
      <c r="R5" s="58"/>
      <c r="S5" s="58"/>
      <c r="T5" s="58"/>
      <c r="U5" s="58"/>
      <c r="V5" s="58"/>
      <c r="W5" s="58"/>
      <c r="X5" s="58"/>
      <c r="Y5" s="58"/>
      <c r="Z5" s="59"/>
      <c r="AA5" s="59"/>
      <c r="AB5" s="59"/>
      <c r="AC5" s="59"/>
      <c r="AD5" s="59"/>
      <c r="AE5" s="59"/>
      <c r="AF5" s="59"/>
      <c r="AG5" s="59"/>
      <c r="AH5" s="59"/>
      <c r="AI5" s="59"/>
      <c r="AJ5" s="59"/>
      <c r="AK5" s="59"/>
      <c r="AL5" s="59"/>
      <c r="AM5" s="59"/>
      <c r="AN5" s="59"/>
      <c r="AO5" s="59"/>
      <c r="AP5" s="59"/>
    </row>
    <row r="6" customFormat="false" ht="34.5" hidden="false" customHeight="true" outlineLevel="0" collapsed="false">
      <c r="A6" s="58"/>
      <c r="B6" s="61" t="str">
        <f aca="false">IF('My order'!H2="English","TOTAL PRODUCTS","TOTAL PRODUITS")</f>
        <v>TOTAL PRODUCTS</v>
      </c>
      <c r="C6" s="62" t="n">
        <f aca="false">C37+C48+L37+L48+T37+C60+T60</f>
        <v>25</v>
      </c>
      <c r="D6" s="58"/>
      <c r="E6" s="60" t="str">
        <f aca="false">IF('My order'!H2="English","Summary","Récapitulatif")</f>
        <v>Summary</v>
      </c>
      <c r="F6" s="60"/>
      <c r="G6" s="58"/>
      <c r="H6" s="58"/>
      <c r="I6" s="58"/>
      <c r="J6" s="58"/>
      <c r="K6" s="58"/>
      <c r="L6" s="58"/>
      <c r="M6" s="58"/>
      <c r="N6" s="58"/>
      <c r="O6" s="58"/>
      <c r="P6" s="58"/>
      <c r="Q6" s="58"/>
      <c r="R6" s="58"/>
      <c r="S6" s="58"/>
      <c r="T6" s="58"/>
      <c r="U6" s="58"/>
      <c r="V6" s="58"/>
      <c r="W6" s="58"/>
      <c r="X6" s="58"/>
      <c r="Y6" s="58"/>
      <c r="Z6" s="59"/>
      <c r="AA6" s="59"/>
      <c r="AB6" s="59"/>
      <c r="AC6" s="59"/>
      <c r="AD6" s="59"/>
      <c r="AE6" s="59"/>
      <c r="AF6" s="59"/>
      <c r="AG6" s="59"/>
      <c r="AH6" s="59"/>
      <c r="AI6" s="59"/>
      <c r="AJ6" s="59"/>
      <c r="AK6" s="59"/>
      <c r="AL6" s="59"/>
      <c r="AM6" s="59"/>
      <c r="AN6" s="59"/>
      <c r="AO6" s="59"/>
      <c r="AP6" s="59"/>
    </row>
    <row r="7" customFormat="false" ht="11.25" hidden="false" customHeight="true" outlineLevel="0" collapsed="false">
      <c r="A7" s="58"/>
      <c r="B7" s="63"/>
      <c r="C7" s="64"/>
      <c r="D7" s="58"/>
      <c r="E7" s="58"/>
      <c r="F7" s="60"/>
      <c r="G7" s="58"/>
      <c r="H7" s="58"/>
      <c r="I7" s="58"/>
      <c r="J7" s="58"/>
      <c r="K7" s="58"/>
      <c r="L7" s="58"/>
      <c r="M7" s="58"/>
      <c r="N7" s="58"/>
      <c r="O7" s="58"/>
      <c r="P7" s="58"/>
      <c r="Q7" s="58"/>
      <c r="R7" s="58"/>
      <c r="S7" s="58"/>
      <c r="T7" s="58"/>
      <c r="U7" s="58"/>
      <c r="V7" s="58"/>
      <c r="W7" s="58"/>
      <c r="X7" s="58"/>
      <c r="Y7" s="58"/>
      <c r="Z7" s="59"/>
      <c r="AA7" s="59"/>
      <c r="AB7" s="59"/>
      <c r="AC7" s="59"/>
      <c r="AD7" s="59"/>
      <c r="AE7" s="59"/>
      <c r="AF7" s="59"/>
      <c r="AG7" s="59"/>
      <c r="AH7" s="59"/>
      <c r="AI7" s="59"/>
      <c r="AJ7" s="59"/>
      <c r="AK7" s="59"/>
      <c r="AL7" s="59"/>
      <c r="AM7" s="59"/>
      <c r="AN7" s="59"/>
      <c r="AO7" s="59"/>
      <c r="AP7" s="59"/>
    </row>
    <row r="8" customFormat="false" ht="12.75" hidden="false" customHeight="true" outlineLevel="0" collapsed="false">
      <c r="A8" s="58"/>
      <c r="B8" s="65" t="str">
        <f aca="false">IF('My order'!H2="English","Men's tops by size and type","Hauts Homme par taille et type")</f>
        <v>Men's tops by size and type</v>
      </c>
      <c r="C8" s="65"/>
      <c r="D8" s="65"/>
      <c r="E8" s="65"/>
      <c r="F8" s="65"/>
      <c r="G8" s="65"/>
      <c r="H8" s="65"/>
      <c r="I8" s="65"/>
      <c r="J8" s="66"/>
      <c r="K8" s="65" t="str">
        <f aca="false">IF('My order'!H2="English","Women's tops by size and type","Hauts Femme par taille et type")</f>
        <v>Women's tops by size and type</v>
      </c>
      <c r="L8" s="65"/>
      <c r="M8" s="65"/>
      <c r="N8" s="65"/>
      <c r="O8" s="65"/>
      <c r="P8" s="65"/>
      <c r="Q8" s="65"/>
      <c r="R8" s="58"/>
      <c r="S8" s="67" t="str">
        <f aca="false">IF('My order'!H2="English","Kid's products by size and type","Produits Enfant par taille et type")</f>
        <v>Kid's products by size and type</v>
      </c>
      <c r="T8" s="67"/>
      <c r="U8" s="67"/>
      <c r="V8" s="67"/>
      <c r="W8" s="58"/>
      <c r="X8" s="58"/>
      <c r="Y8" s="58"/>
      <c r="Z8" s="59"/>
      <c r="AA8" s="59"/>
      <c r="AB8" s="59"/>
      <c r="AC8" s="59"/>
      <c r="AD8" s="59"/>
      <c r="AE8" s="59"/>
      <c r="AF8" s="59"/>
      <c r="AG8" s="59"/>
      <c r="AH8" s="59"/>
      <c r="AI8" s="59"/>
      <c r="AJ8" s="59"/>
      <c r="AK8" s="59"/>
      <c r="AL8" s="59"/>
      <c r="AM8" s="59"/>
      <c r="AN8" s="59"/>
      <c r="AO8" s="59"/>
      <c r="AP8" s="59"/>
    </row>
    <row r="9" customFormat="false" ht="12.75" hidden="false" customHeight="true" outlineLevel="0" collapsed="false">
      <c r="A9" s="58"/>
      <c r="B9" s="68" t="str">
        <f aca="false">IF('My order'!H2="English","Product","Produit")</f>
        <v>Product</v>
      </c>
      <c r="C9" s="69" t="str">
        <f aca="false">IF('My order'!H2="English","Quantity","Quantité")</f>
        <v>Quantity</v>
      </c>
      <c r="D9" s="69"/>
      <c r="E9" s="69"/>
      <c r="F9" s="69"/>
      <c r="G9" s="69"/>
      <c r="H9" s="69"/>
      <c r="I9" s="69"/>
      <c r="J9" s="70"/>
      <c r="K9" s="68" t="str">
        <f aca="false">IF('My order'!H2="English","Product","Produit")</f>
        <v>Product</v>
      </c>
      <c r="L9" s="71"/>
      <c r="M9" s="69" t="str">
        <f aca="false">IF('My order'!H2="English","Quantity","Quantité")</f>
        <v>Quantity</v>
      </c>
      <c r="N9" s="69"/>
      <c r="O9" s="69"/>
      <c r="P9" s="69"/>
      <c r="Q9" s="69"/>
      <c r="R9" s="58"/>
      <c r="S9" s="68" t="str">
        <f aca="false">IF('My order'!H2="English","Product","Produit")</f>
        <v>Product</v>
      </c>
      <c r="T9" s="69" t="str">
        <f aca="false">IF('My order'!H2="English","Quantity","Quantité")</f>
        <v>Quantity</v>
      </c>
      <c r="U9" s="69"/>
      <c r="V9" s="69"/>
      <c r="W9" s="58"/>
      <c r="X9" s="58"/>
      <c r="Y9" s="58"/>
      <c r="Z9" s="59"/>
      <c r="AA9" s="59"/>
      <c r="AB9" s="59"/>
      <c r="AC9" s="59"/>
      <c r="AD9" s="59"/>
      <c r="AE9" s="59"/>
      <c r="AF9" s="59"/>
      <c r="AG9" s="59"/>
      <c r="AH9" s="59"/>
      <c r="AI9" s="59"/>
      <c r="AJ9" s="59"/>
      <c r="AK9" s="59"/>
      <c r="AL9" s="59"/>
      <c r="AM9" s="59"/>
      <c r="AN9" s="59"/>
      <c r="AO9" s="59"/>
      <c r="AP9" s="59"/>
    </row>
    <row r="10" customFormat="false" ht="12.75" hidden="false" customHeight="true" outlineLevel="0" collapsed="false">
      <c r="A10" s="58"/>
      <c r="B10" s="68"/>
      <c r="C10" s="72" t="s">
        <v>51</v>
      </c>
      <c r="D10" s="72" t="s">
        <v>27</v>
      </c>
      <c r="E10" s="72" t="s">
        <v>33</v>
      </c>
      <c r="F10" s="72" t="s">
        <v>40</v>
      </c>
      <c r="G10" s="72" t="s">
        <v>44</v>
      </c>
      <c r="H10" s="72" t="s">
        <v>52</v>
      </c>
      <c r="I10" s="72" t="s">
        <v>53</v>
      </c>
      <c r="J10" s="73"/>
      <c r="K10" s="68"/>
      <c r="L10" s="71" t="s">
        <v>51</v>
      </c>
      <c r="M10" s="72" t="s">
        <v>27</v>
      </c>
      <c r="N10" s="72" t="s">
        <v>33</v>
      </c>
      <c r="O10" s="72" t="s">
        <v>40</v>
      </c>
      <c r="P10" s="72" t="s">
        <v>44</v>
      </c>
      <c r="Q10" s="72" t="s">
        <v>52</v>
      </c>
      <c r="R10" s="58"/>
      <c r="S10" s="68"/>
      <c r="T10" s="72" t="str">
        <f aca="false">IF('My order'!H2="English","6 yo","6 ans")</f>
        <v>6 yo</v>
      </c>
      <c r="U10" s="72" t="str">
        <f aca="false">IF('My order'!H2="English","8 yo","8 ans")</f>
        <v>8 yo</v>
      </c>
      <c r="V10" s="72" t="str">
        <f aca="false">IF('My order'!H2="English","10 yo","10 ans")</f>
        <v>10 yo</v>
      </c>
      <c r="W10" s="58"/>
      <c r="X10" s="58"/>
      <c r="Y10" s="58"/>
      <c r="Z10" s="59"/>
      <c r="AA10" s="59"/>
      <c r="AB10" s="59"/>
      <c r="AC10" s="59"/>
      <c r="AD10" s="59"/>
      <c r="AE10" s="59"/>
      <c r="AF10" s="59"/>
      <c r="AG10" s="59"/>
      <c r="AH10" s="59"/>
      <c r="AI10" s="59"/>
      <c r="AJ10" s="59"/>
      <c r="AK10" s="59"/>
      <c r="AL10" s="59"/>
      <c r="AM10" s="59"/>
      <c r="AN10" s="59"/>
      <c r="AO10" s="59"/>
      <c r="AP10" s="59"/>
    </row>
    <row r="11" customFormat="false" ht="12.75" hidden="false" customHeight="true" outlineLevel="0" collapsed="false">
      <c r="A11" s="58"/>
      <c r="B11" s="74" t="s">
        <v>54</v>
      </c>
      <c r="C11" s="75" t="n">
        <f aca="false">SUMPRODUCT(--('My order'!$B30:$B230="Airez"),--('My order'!$C30:$C230="Man"),--('My order'!$D30:$D230="XS"))</f>
        <v>0</v>
      </c>
      <c r="D11" s="75" t="n">
        <f aca="false">SUMPRODUCT(--('My order'!$B30:$B230="Airez"),--('My order'!$C30:$C230="Man"),--('My order'!$D30:$D230="S"))</f>
        <v>0</v>
      </c>
      <c r="E11" s="75" t="n">
        <f aca="false">SUMPRODUCT(--('My order'!$B30:$B230="Airez"),--('My order'!$C30:$C230="Man"),--('My order'!$D30:$D230="M"))</f>
        <v>0</v>
      </c>
      <c r="F11" s="75" t="n">
        <f aca="false">SUMPRODUCT(--('My order'!$B30:$B230="Airez"),--('My order'!$C30:$C230="Man"),--('My order'!$D30:$D230="L"))</f>
        <v>0</v>
      </c>
      <c r="G11" s="75" t="n">
        <f aca="false">SUMPRODUCT(--('My order'!$B30:$B230="Airez"),--('My order'!$C30:$C230="Man"),--('My order'!$D30:$D230="XL"))</f>
        <v>0</v>
      </c>
      <c r="H11" s="75" t="n">
        <f aca="false">SUMPRODUCT(--('My order'!$B30:$B230="Airez"),--('My order'!$C30:$C230="Man"),--('My order'!$D30:$D230="XXL"))</f>
        <v>0</v>
      </c>
      <c r="I11" s="75" t="n">
        <f aca="false">SUMPRODUCT(--('My order'!$B30:$B230="Airez"),--('My order'!$C30:$C230="Man"),--('My order'!$D30:$D230="XXXL"))</f>
        <v>0</v>
      </c>
      <c r="J11" s="76"/>
      <c r="K11" s="74" t="s">
        <v>54</v>
      </c>
      <c r="L11" s="77"/>
      <c r="M11" s="75" t="n">
        <f aca="false">SUMPRODUCT(--('My order'!$B30:$B230="Airez"),--('My order'!$C30:$C230="Woman"),--('My order'!$D30:$D230="S"))</f>
        <v>0</v>
      </c>
      <c r="N11" s="75" t="n">
        <f aca="false">SUMPRODUCT(--('My order'!$B30:$B230="Airez"),--('My order'!$C30:$C230="Woman"),--('My order'!$D30:$D230="M"))</f>
        <v>0</v>
      </c>
      <c r="O11" s="75" t="n">
        <f aca="false">SUMPRODUCT(--('My order'!$B30:$B230="Airez"),--('My order'!$C30:$C230="Woman"),--('My order'!$D30:$D230="L"))</f>
        <v>0</v>
      </c>
      <c r="P11" s="75" t="n">
        <f aca="false">SUMPRODUCT(--('My order'!$B30:$B230="Airez"),--('My order'!$C30:$C230="Woman"),--('My order'!$D30:$D230="XL"))</f>
        <v>0</v>
      </c>
      <c r="Q11" s="75" t="n">
        <f aca="false">SUMPRODUCT(--('My order'!$B30:$B230="Airez"),--('My order'!$C30:$C230="Woman"),--('My order'!$D30:$D230="XXL"))</f>
        <v>0</v>
      </c>
      <c r="R11" s="58"/>
      <c r="S11" s="74" t="s">
        <v>54</v>
      </c>
      <c r="T11" s="75" t="n">
        <f aca="false">SUMPRODUCT(--('My order'!$B30:$B230="Airez"),--('My order'!$C30:$C230="Kid"),--('My order'!$D30:$D230=6))</f>
        <v>0</v>
      </c>
      <c r="U11" s="75" t="n">
        <f aca="false">SUMPRODUCT(--('My order'!$B30:$B230="Airez"),--('My order'!$C30:$C230="Kid"),--('My order'!$D30:$D230=8))</f>
        <v>0</v>
      </c>
      <c r="V11" s="75" t="n">
        <f aca="false">SUMPRODUCT(--('My order'!$B30:$B230="Airez"),--('My order'!$C30:$C230="Kid"),--('My order'!$D30:$D230=10))</f>
        <v>0</v>
      </c>
      <c r="W11" s="58"/>
      <c r="X11" s="58"/>
      <c r="Y11" s="58"/>
      <c r="Z11" s="59"/>
      <c r="AA11" s="59"/>
      <c r="AB11" s="59"/>
      <c r="AC11" s="59"/>
      <c r="AD11" s="59"/>
      <c r="AE11" s="59"/>
      <c r="AF11" s="59"/>
      <c r="AG11" s="59"/>
      <c r="AH11" s="59"/>
      <c r="AI11" s="59"/>
      <c r="AJ11" s="59"/>
      <c r="AK11" s="59"/>
      <c r="AL11" s="59"/>
      <c r="AM11" s="59"/>
      <c r="AN11" s="59"/>
      <c r="AO11" s="59"/>
      <c r="AP11" s="59"/>
    </row>
    <row r="12" customFormat="false" ht="12.75" hidden="false" customHeight="true" outlineLevel="0" collapsed="false">
      <c r="A12" s="58"/>
      <c r="B12" s="78" t="s">
        <v>49</v>
      </c>
      <c r="C12" s="77"/>
      <c r="D12" s="75" t="n">
        <f aca="false">SUMPRODUCT(--('My order'!$B30:$B230="Argia"),--('My order'!$C30:$C230="Man"),--('My order'!$D30:$D230="S"))</f>
        <v>0</v>
      </c>
      <c r="E12" s="75" t="n">
        <f aca="false">SUMPRODUCT(--('My order'!$B30:$B230="Argia"),--('My order'!$C30:$C230="Man"),--('My order'!$D30:$D230="M"))</f>
        <v>0</v>
      </c>
      <c r="F12" s="75" t="n">
        <f aca="false">SUMPRODUCT(--('My order'!$B30:$B230="Argia"),--('My order'!$C30:$C230="Man"),--('My order'!$D30:$D230="L"))</f>
        <v>2</v>
      </c>
      <c r="G12" s="75" t="n">
        <f aca="false">SUMPRODUCT(--('My order'!$B30:$B230="Argia"),--('My order'!$C30:$C230="Man"),--('My order'!$D30:$D230="XL"))</f>
        <v>0</v>
      </c>
      <c r="H12" s="75" t="n">
        <f aca="false">SUMPRODUCT(--('My order'!$B30:$B230="Argia"),--('My order'!$C30:$C230="Man"),--('My order'!$D30:$D230="XXL"))</f>
        <v>0</v>
      </c>
      <c r="I12" s="77"/>
      <c r="J12" s="76"/>
      <c r="K12" s="78" t="s">
        <v>49</v>
      </c>
      <c r="L12" s="77"/>
      <c r="M12" s="75" t="n">
        <f aca="false">SUMPRODUCT(--('My order'!$B30:$B230="Argia"),--('My order'!$C30:$C230="Woman"),--('My order'!$D30:$D230="S"))</f>
        <v>0</v>
      </c>
      <c r="N12" s="75" t="n">
        <f aca="false">SUMPRODUCT(--('My order'!$B30:$B230="Argia"),--('My order'!$C30:$C230="Woman"),--('My order'!$D30:$D230="M"))</f>
        <v>0</v>
      </c>
      <c r="O12" s="75" t="n">
        <f aca="false">SUMPRODUCT(--('My order'!$B30:$B230="Argia"),--('My order'!$C30:$C230="Woman"),--('My order'!$D30:$D230="L"))</f>
        <v>0</v>
      </c>
      <c r="P12" s="75" t="n">
        <f aca="false">SUMPRODUCT(--('My order'!$B30:$B230="Argia"),--('My order'!$C30:$C230="Woman"),--('My order'!$D30:$D230="XL"))</f>
        <v>0</v>
      </c>
      <c r="Q12" s="77"/>
      <c r="R12" s="58"/>
      <c r="S12" s="78" t="s">
        <v>49</v>
      </c>
      <c r="T12" s="77"/>
      <c r="U12" s="77"/>
      <c r="V12" s="77"/>
      <c r="W12" s="58"/>
      <c r="X12" s="58"/>
      <c r="Y12" s="58"/>
      <c r="Z12" s="59"/>
      <c r="AA12" s="59"/>
      <c r="AB12" s="59"/>
      <c r="AC12" s="59"/>
      <c r="AD12" s="59"/>
      <c r="AE12" s="59"/>
      <c r="AF12" s="59"/>
      <c r="AG12" s="59"/>
      <c r="AH12" s="59"/>
      <c r="AI12" s="59"/>
      <c r="AJ12" s="59"/>
      <c r="AK12" s="59"/>
      <c r="AL12" s="59"/>
      <c r="AM12" s="59"/>
      <c r="AN12" s="59"/>
      <c r="AO12" s="59"/>
      <c r="AP12" s="59"/>
    </row>
    <row r="13" customFormat="false" ht="12.75" hidden="false" customHeight="true" outlineLevel="0" collapsed="false">
      <c r="A13" s="58"/>
      <c r="B13" s="78" t="s">
        <v>55</v>
      </c>
      <c r="C13" s="75" t="n">
        <f aca="false">SUMPRODUCT(--('My order'!$B30:$B230="Azkar"),--('My order'!$C30:$C230="Man"),--('My order'!$D30:$D230="XS"))</f>
        <v>0</v>
      </c>
      <c r="D13" s="75" t="n">
        <f aca="false">SUMPRODUCT(--('My order'!$B30:$B230="Azkar"),--('My order'!$C30:$C230="Man"),--('My order'!$D30:$D230="S"))</f>
        <v>0</v>
      </c>
      <c r="E13" s="75" t="n">
        <f aca="false">SUMPRODUCT(--('My order'!$B30:$B230="Azkar"),--('My order'!$C30:$C230="Man"),--('My order'!$D30:$D230="M"))</f>
        <v>0</v>
      </c>
      <c r="F13" s="75" t="n">
        <f aca="false">SUMPRODUCT(--('My order'!$B30:$B230="Azkar"),--('My order'!$C30:$C230="Man"),--('My order'!$D30:$D230="L"))</f>
        <v>0</v>
      </c>
      <c r="G13" s="75" t="n">
        <f aca="false">SUMPRODUCT(--('My order'!$B30:$B230="Azkar"),--('My order'!$C30:$C230="Man"),--('My order'!$D30:$D230="XL"))</f>
        <v>0</v>
      </c>
      <c r="H13" s="75" t="n">
        <f aca="false">SUMPRODUCT(--('My order'!$B30:$B230="Azkar"),--('My order'!$C30:$C230="Man"),--('My order'!$D30:$D230="XXL"))</f>
        <v>0</v>
      </c>
      <c r="I13" s="75" t="n">
        <f aca="false">SUMPRODUCT(--('My order'!$B30:$B230="Azkar"),--('My order'!$C30:$C230="Man"),--('My order'!$D30:$D230="XXXL"))</f>
        <v>0</v>
      </c>
      <c r="J13" s="76"/>
      <c r="K13" s="78" t="s">
        <v>55</v>
      </c>
      <c r="L13" s="77"/>
      <c r="M13" s="75" t="n">
        <f aca="false">SUMPRODUCT(--('My order'!$B30:$B230="Azkar"),--('My order'!$C30:$C230="Woman"),--('My order'!$D30:$D230="S"))</f>
        <v>0</v>
      </c>
      <c r="N13" s="75" t="n">
        <f aca="false">SUMPRODUCT(--('My order'!$B30:$B230="Azkar"),--('My order'!$C30:$C230="Woman"),--('My order'!$D30:$D230="M"))</f>
        <v>0</v>
      </c>
      <c r="O13" s="75" t="n">
        <f aca="false">SUMPRODUCT(--('My order'!$B30:$B230="Azkar"),--('My order'!$C30:$C230="Woman"),--('My order'!$D30:$D230="L"))</f>
        <v>0</v>
      </c>
      <c r="P13" s="75" t="n">
        <f aca="false">SUMPRODUCT(--('My order'!$B30:$B230="Azkar"),--('My order'!$C30:$C230="Woman"),--('My order'!$D30:$D230="XL"))</f>
        <v>0</v>
      </c>
      <c r="Q13" s="75" t="n">
        <f aca="false">SUMPRODUCT(--('My order'!$B30:$B230="Azkar"),--('My order'!$C30:$C230="Woman"),--('My order'!$D30:$D230="XXL"))</f>
        <v>0</v>
      </c>
      <c r="R13" s="58"/>
      <c r="S13" s="78" t="s">
        <v>55</v>
      </c>
      <c r="T13" s="75" t="n">
        <f aca="false">SUMPRODUCT(--('My order'!$B30:$B230="Azkar"),--('My order'!$C30:$C230="Kid"),--('My order'!$D30:$D230=6))</f>
        <v>0</v>
      </c>
      <c r="U13" s="75" t="n">
        <f aca="false">SUMPRODUCT(--('My order'!$B30:$B230="Azkar"),--('My order'!$C30:$C230="Kid"),--('My order'!$D30:$D230=8))</f>
        <v>0</v>
      </c>
      <c r="V13" s="75" t="n">
        <f aca="false">SUMPRODUCT(--('My order'!$B30:$B230="Azkar"),--('My order'!$C30:$C230="Kid"),--('My order'!$D30:$D230=10))</f>
        <v>0</v>
      </c>
      <c r="W13" s="58"/>
      <c r="X13" s="58"/>
      <c r="Y13" s="58"/>
      <c r="Z13" s="59"/>
      <c r="AA13" s="59"/>
      <c r="AB13" s="59"/>
      <c r="AC13" s="59"/>
      <c r="AD13" s="59"/>
      <c r="AE13" s="59"/>
      <c r="AF13" s="59"/>
      <c r="AG13" s="59"/>
      <c r="AH13" s="59"/>
      <c r="AI13" s="59"/>
      <c r="AJ13" s="59"/>
      <c r="AK13" s="59"/>
      <c r="AL13" s="59"/>
      <c r="AM13" s="59"/>
      <c r="AN13" s="59"/>
      <c r="AO13" s="59"/>
      <c r="AP13" s="59"/>
    </row>
    <row r="14" customFormat="false" ht="12.75" hidden="false" customHeight="true" outlineLevel="0" collapsed="false">
      <c r="A14" s="58"/>
      <c r="B14" s="78" t="s">
        <v>56</v>
      </c>
      <c r="C14" s="75" t="n">
        <f aca="false">SUMPRODUCT(--('My order'!$B30:$B230="Azkar_LongSleeves"),--('My order'!$C30:$C230="Man"),--('My order'!$D30:$D230="XS"))</f>
        <v>0</v>
      </c>
      <c r="D14" s="75" t="n">
        <f aca="false">SUMPRODUCT(--('My order'!$B30:$B230="Azkar_LongSleeves"),--('My order'!$C30:$C230="Man"),--('My order'!$D30:$D230="S"))</f>
        <v>0</v>
      </c>
      <c r="E14" s="75" t="n">
        <f aca="false">SUMPRODUCT(--('My order'!$B30:$B230="Azkar_LongSleeves"),--('My order'!$C30:$C230="Man"),--('My order'!$D30:$D230="M"))</f>
        <v>0</v>
      </c>
      <c r="F14" s="75" t="n">
        <f aca="false">SUMPRODUCT(--('My order'!$B30:$B230="Azkar_LongSleeves"),--('My order'!$C30:$C230="Man"),--('My order'!$D30:$D230="L"))</f>
        <v>0</v>
      </c>
      <c r="G14" s="75" t="n">
        <f aca="false">SUMPRODUCT(--('My order'!$B30:$B230="Azkar_LongSleeves"),--('My order'!$C30:$C230="Man"),--('My order'!$D30:$D230="XL"))</f>
        <v>0</v>
      </c>
      <c r="H14" s="75" t="n">
        <f aca="false">SUMPRODUCT(--('My order'!$B30:$B230="Azkar_LongSleeves"),--('My order'!$C30:$C230="Man"),--('My order'!$D30:$D230="XXL"))</f>
        <v>0</v>
      </c>
      <c r="I14" s="75" t="n">
        <f aca="false">SUMPRODUCT(--('My order'!$B30:$B230="Azkar_LongSleeves"),--('My order'!$C30:$C230="Man"),--('My order'!$D30:$D230="XXXL"))</f>
        <v>0</v>
      </c>
      <c r="J14" s="76"/>
      <c r="K14" s="78" t="s">
        <v>56</v>
      </c>
      <c r="L14" s="77"/>
      <c r="M14" s="75" t="n">
        <f aca="false">SUMPRODUCT(--('My order'!$B30:$B230="Azkar_LongSleeves"),--('My order'!$C30:$C230="Woman"),--('My order'!$D30:$D230="S"))</f>
        <v>0</v>
      </c>
      <c r="N14" s="75" t="n">
        <f aca="false">SUMPRODUCT(--('My order'!$B30:$B230="Azkar_LongSleeves"),--('My order'!$C30:$C230="Woman"),--('My order'!$D30:$D230="M"))</f>
        <v>0</v>
      </c>
      <c r="O14" s="75" t="n">
        <f aca="false">SUMPRODUCT(--('My order'!$B30:$B230="Azkar_LongSleeves"),--('My order'!$C30:$C230="Woman"),--('My order'!$D30:$D230="L"))</f>
        <v>0</v>
      </c>
      <c r="P14" s="75" t="n">
        <f aca="false">SUMPRODUCT(--('My order'!$B30:$B230="Azkar_LongSleeves"),--('My order'!$C30:$C230="Woman"),--('My order'!$D30:$D230="Xl"))</f>
        <v>0</v>
      </c>
      <c r="Q14" s="75" t="n">
        <f aca="false">SUMPRODUCT(--('My order'!$B30:$B230="Azkar_LongSleeves"),--('My order'!$C30:$C230="Woman"),--('My order'!$D30:$D230="XXL"))</f>
        <v>0</v>
      </c>
      <c r="R14" s="58"/>
      <c r="S14" s="78" t="s">
        <v>56</v>
      </c>
      <c r="T14" s="75" t="n">
        <f aca="false">SUMPRODUCT(--('My order'!$B30:$B230="Azkar_LongSleeves"),--('My order'!$C30:$C230="Kid"),--('My order'!$D30:$D230=6))</f>
        <v>0</v>
      </c>
      <c r="U14" s="75" t="n">
        <f aca="false">SUMPRODUCT(--('My order'!$B30:$B230="Azkar_LongSleeves"),--('My order'!$C30:$C230="Kid"),--('My order'!$D30:$D230=8))</f>
        <v>0</v>
      </c>
      <c r="V14" s="75" t="n">
        <f aca="false">SUMPRODUCT(--('My order'!$B30:$B230="Azkar_LongSleeves"),--('My order'!$C30:$C230="Kid"),--('My order'!$D30:$D230=10))</f>
        <v>0</v>
      </c>
      <c r="W14" s="58"/>
      <c r="X14" s="58"/>
      <c r="Y14" s="58"/>
      <c r="Z14" s="59"/>
      <c r="AA14" s="59"/>
      <c r="AB14" s="59"/>
      <c r="AC14" s="59"/>
      <c r="AD14" s="59"/>
      <c r="AE14" s="59"/>
      <c r="AF14" s="59"/>
      <c r="AG14" s="59"/>
      <c r="AH14" s="59"/>
      <c r="AI14" s="59"/>
      <c r="AJ14" s="59"/>
      <c r="AK14" s="59"/>
      <c r="AL14" s="59"/>
      <c r="AM14" s="59"/>
      <c r="AN14" s="59"/>
      <c r="AO14" s="59"/>
      <c r="AP14" s="59"/>
    </row>
    <row r="15" customFormat="false" ht="12.75" hidden="false" customHeight="true" outlineLevel="0" collapsed="false">
      <c r="A15" s="58"/>
      <c r="B15" s="78" t="s">
        <v>57</v>
      </c>
      <c r="C15" s="75" t="n">
        <f aca="false">SUMPRODUCT(--('My order'!$B30:$B230="Casual_Tee"),--('My order'!$C30:$C230="Man"),--('My order'!$D30:$D230="XS"))</f>
        <v>0</v>
      </c>
      <c r="D15" s="75" t="n">
        <f aca="false">SUMPRODUCT(--('My order'!$B30:$B230="Casual_Tee"),--('My order'!$C30:$C230="Man"),--('My order'!$D30:$D230="S"))</f>
        <v>0</v>
      </c>
      <c r="E15" s="75" t="n">
        <f aca="false">SUMPRODUCT(--('My order'!$B30:$B230="Casual_Tee"),--('My order'!$C30:$C230="Man"),--('My order'!$D30:$D230="M"))</f>
        <v>0</v>
      </c>
      <c r="F15" s="75" t="n">
        <f aca="false">SUMPRODUCT(--('My order'!$B30:$B230="Casual_Tee"),--('My order'!$C30:$C230="Man"),--('My order'!$D30:$D230="L"))</f>
        <v>0</v>
      </c>
      <c r="G15" s="75" t="n">
        <f aca="false">SUMPRODUCT(--('My order'!$B30:$B230="Casual_Tee"),--('My order'!$C30:$C230="Man"),--('My order'!$D30:$D230="XL"))</f>
        <v>0</v>
      </c>
      <c r="H15" s="75" t="n">
        <f aca="false">SUMPRODUCT(--('My order'!$B30:$B230="Casual_Tee"),--('My order'!$C30:$C230="Man"),--('My order'!$D30:$D230="XXL"))</f>
        <v>0</v>
      </c>
      <c r="I15" s="77"/>
      <c r="J15" s="76"/>
      <c r="K15" s="78" t="s">
        <v>57</v>
      </c>
      <c r="L15" s="77"/>
      <c r="M15" s="75" t="n">
        <f aca="false">SUMPRODUCT(--('My order'!$B30:$B230="Casual_Tee"),--('My order'!$C30:$C230="Woman"),--('My order'!$D30:$D230="S"))</f>
        <v>0</v>
      </c>
      <c r="N15" s="75" t="n">
        <f aca="false">SUMPRODUCT(--('My order'!$B30:$B230="Casual_Tee"),--('My order'!$C30:$C230="Woman"),--('My order'!$D30:$D230="M"))</f>
        <v>0</v>
      </c>
      <c r="O15" s="75" t="n">
        <f aca="false">SUMPRODUCT(--('My order'!$B30:$B230="Casual_Tee"),--('My order'!$C30:$C230="Woman"),--('My order'!$D30:$D230="L"))</f>
        <v>0</v>
      </c>
      <c r="P15" s="75" t="n">
        <f aca="false">SUMPRODUCT(--('My order'!$B30:$B230="Casual_Tee"),--('My order'!$C30:$C230="Woman"),--('My order'!$D30:$D230="XL"))</f>
        <v>0</v>
      </c>
      <c r="Q15" s="75" t="n">
        <f aca="false">SUMPRODUCT(--('My order'!$B30:$B230="Casual_Tee"),--('My order'!$C30:$C230="Woman"),--('My order'!$D30:$D230="XXL"))</f>
        <v>0</v>
      </c>
      <c r="R15" s="58"/>
      <c r="S15" s="78" t="s">
        <v>57</v>
      </c>
      <c r="T15" s="75" t="n">
        <f aca="false">SUMPRODUCT(--('My order'!$B30:$B230="Casual_Tee"),--('My order'!$C30:$C230="Kid"),--('My order'!$D30:$D230=6))</f>
        <v>0</v>
      </c>
      <c r="U15" s="75" t="n">
        <f aca="false">SUMPRODUCT(--('My order'!$B30:$B230="Casual_Tee"),--('My order'!$C30:$C230="Kid"),--('My order'!$D30:$D230=8))</f>
        <v>0</v>
      </c>
      <c r="V15" s="75" t="n">
        <f aca="false">SUMPRODUCT(--('My order'!$B30:$B230="Casual_Tee"),--('My order'!$C30:$C230="Kid"),--('My order'!$D30:$D230=10))</f>
        <v>0</v>
      </c>
      <c r="W15" s="58"/>
      <c r="X15" s="58"/>
      <c r="Y15" s="58"/>
      <c r="Z15" s="59"/>
      <c r="AA15" s="59"/>
      <c r="AB15" s="59"/>
      <c r="AC15" s="59"/>
      <c r="AD15" s="59"/>
      <c r="AE15" s="59"/>
      <c r="AF15" s="59"/>
      <c r="AG15" s="59"/>
      <c r="AH15" s="59"/>
      <c r="AI15" s="59"/>
      <c r="AJ15" s="59"/>
      <c r="AK15" s="59"/>
      <c r="AL15" s="59"/>
      <c r="AM15" s="59"/>
      <c r="AN15" s="59"/>
      <c r="AO15" s="59"/>
      <c r="AP15" s="59"/>
    </row>
    <row r="16" customFormat="false" ht="12.75" hidden="false" customHeight="true" outlineLevel="0" collapsed="false">
      <c r="A16" s="58"/>
      <c r="B16" s="78" t="s">
        <v>58</v>
      </c>
      <c r="C16" s="75" t="n">
        <f aca="false">SUMPRODUCT(--('My order'!$B30:$B230="Casual_Tee_Pocket"),--('My order'!$C30:$C230="Man"),--('My order'!$D30:$D230="XS"))</f>
        <v>0</v>
      </c>
      <c r="D16" s="75" t="n">
        <f aca="false">SUMPRODUCT(--('My order'!$B30:$B230="Casual_Tee_Pocket"),--('My order'!$C30:$C230="Man"),--('My order'!$D30:$D230="S"))</f>
        <v>0</v>
      </c>
      <c r="E16" s="75" t="n">
        <f aca="false">SUMPRODUCT(--('My order'!$B30:$B230="Casual_Tee_Pocket"),--('My order'!$C30:$C230="Man"),--('My order'!$D30:$D230="M"))</f>
        <v>0</v>
      </c>
      <c r="F16" s="75" t="n">
        <f aca="false">SUMPRODUCT(--('My order'!$B30:$B230="Casual_Tee_Pocket"),--('My order'!$C30:$C230="Man"),--('My order'!$D30:$D230="L"))</f>
        <v>0</v>
      </c>
      <c r="G16" s="75" t="n">
        <f aca="false">SUMPRODUCT(--('My order'!$B30:$B230="Casual_Tee_Pocket"),--('My order'!$C30:$C230="Man"),--('My order'!$D30:$D230="XL"))</f>
        <v>0</v>
      </c>
      <c r="H16" s="75" t="n">
        <f aca="false">SUMPRODUCT(--('My order'!$B30:$B230="Casual_Tee_Pocket"),--('My order'!$C30:$C230="Man"),--('My order'!$D30:$D230="XXL"))</f>
        <v>0</v>
      </c>
      <c r="I16" s="77"/>
      <c r="J16" s="76"/>
      <c r="K16" s="78" t="s">
        <v>58</v>
      </c>
      <c r="L16" s="77"/>
      <c r="M16" s="75" t="n">
        <f aca="false">SUMPRODUCT(--('My order'!$B30:$B230="Casual_Tee_Pocket"),--('My order'!$C30:$C230="Woman"),--('My order'!$D30:$D230="S"))</f>
        <v>0</v>
      </c>
      <c r="N16" s="75" t="n">
        <f aca="false">SUMPRODUCT(--('My order'!$B30:$B230="Casual_Tee_Pocket"),--('My order'!$C30:$C230="Woman"),--('My order'!$D30:$D230="M"))</f>
        <v>0</v>
      </c>
      <c r="O16" s="75" t="n">
        <f aca="false">SUMPRODUCT(--('My order'!$B30:$B230="Casual_Tee_Pocket"),--('My order'!$C30:$C230="Woman"),--('My order'!$D30:$D230="L"))</f>
        <v>0</v>
      </c>
      <c r="P16" s="75" t="n">
        <f aca="false">SUMPRODUCT(--('My order'!$B30:$B230="Casual_Tee_Pocket"),--('My order'!$C30:$C230="Woman"),--('My order'!$D30:$D230="XL"))</f>
        <v>0</v>
      </c>
      <c r="Q16" s="75" t="n">
        <f aca="false">SUMPRODUCT(--('My order'!$B30:$B230="Casual_Tee_Pocket"),--('My order'!$C30:$C230="Woman"),--('My order'!$D30:$D230="XXL"))</f>
        <v>0</v>
      </c>
      <c r="R16" s="58"/>
      <c r="S16" s="78" t="s">
        <v>58</v>
      </c>
      <c r="T16" s="75" t="n">
        <f aca="false">SUMPRODUCT(--('My order'!$B30:$B230="Casual_Tee_Pocket"),--('My order'!$C30:$C230="Kid"),--('My order'!$D30:$D230=6))</f>
        <v>0</v>
      </c>
      <c r="U16" s="75" t="n">
        <f aca="false">SUMPRODUCT(--('My order'!$B30:$B230="Casual_Tee_Pocket"),--('My order'!$C30:$C230="Kid"),--('My order'!$D30:$D230=8))</f>
        <v>0</v>
      </c>
      <c r="V16" s="75" t="n">
        <f aca="false">SUMPRODUCT(--('My order'!$B30:$B230="Casual_Tee_Pocket"),--('My order'!$C30:$C230="Kid"),--('My order'!$D30:$D230=10))</f>
        <v>0</v>
      </c>
      <c r="W16" s="58"/>
      <c r="X16" s="58"/>
      <c r="Y16" s="58"/>
      <c r="Z16" s="59"/>
      <c r="AA16" s="59"/>
      <c r="AB16" s="59"/>
      <c r="AC16" s="59"/>
      <c r="AD16" s="59"/>
      <c r="AE16" s="59"/>
      <c r="AF16" s="59"/>
      <c r="AG16" s="59"/>
      <c r="AH16" s="59"/>
      <c r="AI16" s="59"/>
      <c r="AJ16" s="59"/>
      <c r="AK16" s="59"/>
      <c r="AL16" s="59"/>
      <c r="AM16" s="59"/>
      <c r="AN16" s="59"/>
      <c r="AO16" s="59"/>
      <c r="AP16" s="59"/>
    </row>
    <row r="17" customFormat="false" ht="12.75" hidden="false" customHeight="true" outlineLevel="0" collapsed="false">
      <c r="A17" s="58"/>
      <c r="B17" s="78" t="s">
        <v>59</v>
      </c>
      <c r="C17" s="75" t="n">
        <f aca="false">SUMPRODUCT(--('My order'!$B30:$B230="Compression_Top"),--('My order'!$C30:$C230="Man"),--('My order'!$D30:$D230="XS"))</f>
        <v>0</v>
      </c>
      <c r="D17" s="75" t="n">
        <f aca="false">SUMPRODUCT(--('My order'!$B30:$B230="Compression_Top"),--('My order'!$C30:$C230="Man"),--('My order'!$D30:$D230="S"))</f>
        <v>0</v>
      </c>
      <c r="E17" s="75" t="n">
        <f aca="false">SUMPRODUCT(--('My order'!$B30:$B230="Compression_Top"),--('My order'!$C30:$C230="Man"),--('My order'!$D30:$D230="M"))</f>
        <v>0</v>
      </c>
      <c r="F17" s="75" t="n">
        <f aca="false">SUMPRODUCT(--('My order'!$B30:$B230="Compression_Top"),--('My order'!$C30:$C230="Man"),--('My order'!$D30:$D230="L"))</f>
        <v>0</v>
      </c>
      <c r="G17" s="75" t="n">
        <f aca="false">SUMPRODUCT(--('My order'!$B30:$B230="Compression_Top"),--('My order'!$C30:$C230="Man"),--('My order'!$D30:$D230="XL"))</f>
        <v>0</v>
      </c>
      <c r="H17" s="75" t="n">
        <f aca="false">SUMPRODUCT(--('My order'!$B30:$B230="Compression_Top"),--('My order'!$C30:$C230="Man"),--('My order'!$D30:$D230="XXL"))</f>
        <v>0</v>
      </c>
      <c r="I17" s="75" t="n">
        <f aca="false">SUMPRODUCT(--('My order'!$B30:$B230="Compression_Top"),--('My order'!$C30:$C230="Man"),--('My order'!$D30:$D230="XXXL"))</f>
        <v>0</v>
      </c>
      <c r="J17" s="76"/>
      <c r="K17" s="78" t="s">
        <v>59</v>
      </c>
      <c r="L17" s="77"/>
      <c r="M17" s="75" t="n">
        <f aca="false">SUMPRODUCT(--('My order'!$B30:$B230="Compression_Top"),--('My order'!$C30:$C230="Woman"),--('My order'!$D30:$D230="S"))</f>
        <v>0</v>
      </c>
      <c r="N17" s="75" t="n">
        <f aca="false">SUMPRODUCT(--('My order'!$B30:$B230="Compression_Top"),--('My order'!$C30:$C230="Woman"),--('My order'!$D30:$D230="M"))</f>
        <v>0</v>
      </c>
      <c r="O17" s="75" t="n">
        <f aca="false">SUMPRODUCT(--('My order'!$B30:$B230="Compression_Top"),--('My order'!$C30:$C230="Woman"),--('My order'!$D30:$D230="L"))</f>
        <v>0</v>
      </c>
      <c r="P17" s="75" t="n">
        <f aca="false">SUMPRODUCT(--('My order'!$B30:$B230="Compression_Top"),--('My order'!$C30:$C230="Woman"),--('My order'!$D30:$D230="XL"))</f>
        <v>0</v>
      </c>
      <c r="Q17" s="75" t="n">
        <f aca="false">SUMPRODUCT(--('My order'!$B30:$B230="Compression_Top"),--('My order'!$C30:$C230="Woman"),--('My order'!$D30:$D230="XXL"))</f>
        <v>0</v>
      </c>
      <c r="R17" s="58"/>
      <c r="S17" s="78" t="s">
        <v>59</v>
      </c>
      <c r="T17" s="75" t="n">
        <f aca="false">SUMPRODUCT(--('My order'!$B30:$B230="Compression_Top"),--('My order'!$C30:$C230="Kid"),--('My order'!$D30:$D230=6))</f>
        <v>0</v>
      </c>
      <c r="U17" s="75" t="n">
        <f aca="false">SUMPRODUCT(--('My order'!$B30:$B230="Compression_Top"),--('My order'!$C30:$C230="Kid"),--('My order'!$D30:$D230=8))</f>
        <v>0</v>
      </c>
      <c r="V17" s="75" t="n">
        <f aca="false">SUMPRODUCT(--('My order'!$B30:$B230="Compression_Top"),--('My order'!$C30:$C230="Kid"),--('My order'!$D30:$D230=10))</f>
        <v>0</v>
      </c>
      <c r="W17" s="58"/>
      <c r="X17" s="58"/>
      <c r="Y17" s="58"/>
      <c r="Z17" s="59"/>
      <c r="AA17" s="59"/>
      <c r="AB17" s="59"/>
      <c r="AC17" s="59"/>
      <c r="AD17" s="59"/>
      <c r="AE17" s="59"/>
      <c r="AF17" s="59"/>
      <c r="AG17" s="59"/>
      <c r="AH17" s="59"/>
      <c r="AI17" s="59"/>
      <c r="AJ17" s="59"/>
      <c r="AK17" s="59"/>
      <c r="AL17" s="59"/>
      <c r="AM17" s="59"/>
      <c r="AN17" s="59"/>
      <c r="AO17" s="59"/>
      <c r="AP17" s="59"/>
    </row>
    <row r="18" customFormat="false" ht="12.75" hidden="false" customHeight="true" outlineLevel="0" collapsed="false">
      <c r="A18" s="58"/>
      <c r="B18" s="78" t="s">
        <v>60</v>
      </c>
      <c r="C18" s="75" t="n">
        <f aca="false">SUMPRODUCT(--('My order'!$B30:$B230="Compression_Top_LongSleeves"),--('My order'!$C30:$C230="Man"),--('My order'!$D30:$D230="XS"))</f>
        <v>0</v>
      </c>
      <c r="D18" s="75" t="n">
        <f aca="false">SUMPRODUCT(--('My order'!$B30:$B230="Compression_Top_LongSleeves"),--('My order'!$C30:$C230="Man"),--('My order'!$D30:$D230="S"))</f>
        <v>0</v>
      </c>
      <c r="E18" s="75" t="n">
        <f aca="false">SUMPRODUCT(--('My order'!$B30:$B230="Compression_Top_LongSleeves"),--('My order'!$C30:$C230="Man"),--('My order'!$D30:$D230="M"))</f>
        <v>0</v>
      </c>
      <c r="F18" s="75" t="n">
        <f aca="false">SUMPRODUCT(--('My order'!$B30:$B230="Compression_Top_LongSleeves"),--('My order'!$C30:$C230="Man"),--('My order'!$D30:$D230="L"))</f>
        <v>0</v>
      </c>
      <c r="G18" s="75" t="n">
        <f aca="false">SUMPRODUCT(--('My order'!$B30:$B230="Compression_Top_LongSleeves"),--('My order'!$C30:$C230="Man"),--('My order'!$D30:$D230="XL"))</f>
        <v>0</v>
      </c>
      <c r="H18" s="75" t="n">
        <f aca="false">SUMPRODUCT(--('My order'!$B30:$B230="Compression_Top_LongSleeves"),--('My order'!$C30:$C230="Man"),--('My order'!$D30:$D230="XXL"))</f>
        <v>0</v>
      </c>
      <c r="I18" s="75" t="n">
        <f aca="false">SUMPRODUCT(--('My order'!$B30:$B230="Compression_Top_LongSleeves"),--('My order'!$C30:$C230="Man"),--('My order'!$D30:$D230="XXXL"))</f>
        <v>0</v>
      </c>
      <c r="J18" s="76"/>
      <c r="K18" s="78" t="s">
        <v>60</v>
      </c>
      <c r="L18" s="77"/>
      <c r="M18" s="75" t="n">
        <f aca="false">SUMPRODUCT(--('My order'!$B30:$B230="Compression_Top_LongSleeves"),--('My order'!$C30:$C230="Woman"),--('My order'!$D30:$D230="S"))</f>
        <v>0</v>
      </c>
      <c r="N18" s="75" t="n">
        <f aca="false">SUMPRODUCT(--('My order'!$B30:$B230="Compression_Top_LongSleeves"),--('My order'!$C30:$C230="Woman"),--('My order'!$D30:$D230="M"))</f>
        <v>0</v>
      </c>
      <c r="O18" s="75" t="n">
        <f aca="false">SUMPRODUCT(--('My order'!$B30:$B230="Compression_Top_LongSleeves"),--('My order'!$C30:$C230="Woman"),--('My order'!$D30:$D230="L"))</f>
        <v>0</v>
      </c>
      <c r="P18" s="75" t="n">
        <f aca="false">SUMPRODUCT(--('My order'!$B30:$B230="Compression_Top_LongSleeves"),--('My order'!$C30:$C230="Woman"),--('My order'!$D30:$D230="XL"))</f>
        <v>0</v>
      </c>
      <c r="Q18" s="75" t="n">
        <f aca="false">SUMPRODUCT(--('My order'!$B30:$B230="Compression_Top_LongSleeves"),--('My order'!$C30:$C230="Woman"),--('My order'!$D30:$D230="XXL"))</f>
        <v>0</v>
      </c>
      <c r="R18" s="58"/>
      <c r="S18" s="78" t="s">
        <v>60</v>
      </c>
      <c r="T18" s="75" t="n">
        <f aca="false">SUMPRODUCT(--('My order'!$B30:$B230="Compression_Top_LongSleeves"),--('My order'!$C30:$C230="Kid"),--('My order'!$D30:$D230=6))</f>
        <v>0</v>
      </c>
      <c r="U18" s="75" t="n">
        <f aca="false">SUMPRODUCT(--('My order'!$B30:$B230="Compression_Top_LongSleeves"),--('My order'!$C30:$C230="Kid"),--('My order'!$D30:$D230=8))</f>
        <v>0</v>
      </c>
      <c r="V18" s="75" t="n">
        <f aca="false">SUMPRODUCT(--('My order'!$B30:$B230="Compression_Top_LongSleeves"),--('My order'!$C30:$C230="Kid"),--('My order'!$D30:$D230=10))</f>
        <v>0</v>
      </c>
      <c r="W18" s="58"/>
      <c r="X18" s="58"/>
      <c r="Y18" s="58"/>
      <c r="Z18" s="59"/>
      <c r="AA18" s="59"/>
      <c r="AB18" s="59"/>
      <c r="AC18" s="59"/>
      <c r="AD18" s="59"/>
      <c r="AE18" s="59"/>
      <c r="AF18" s="59"/>
      <c r="AG18" s="59"/>
      <c r="AH18" s="59"/>
      <c r="AI18" s="59"/>
      <c r="AJ18" s="59"/>
      <c r="AK18" s="59"/>
      <c r="AL18" s="59"/>
      <c r="AM18" s="59"/>
      <c r="AN18" s="59"/>
      <c r="AO18" s="59"/>
      <c r="AP18" s="59"/>
    </row>
    <row r="19" customFormat="false" ht="12.75" hidden="false" customHeight="true" outlineLevel="0" collapsed="false">
      <c r="A19" s="58"/>
      <c r="B19" s="78" t="s">
        <v>61</v>
      </c>
      <c r="C19" s="75" t="n">
        <f aca="false">SUMPRODUCT(--('My order'!$B30:$B230="Dotoreak"),--('My order'!$C30:$C230="Man"),--('My order'!$D30:$D230="XS"))</f>
        <v>0</v>
      </c>
      <c r="D19" s="75" t="n">
        <f aca="false">SUMPRODUCT(--('My order'!$B30:$B230="Dotoreak"),--('My order'!$C30:$C230="Man"),--('My order'!$D30:$D230="S"))</f>
        <v>0</v>
      </c>
      <c r="E19" s="75" t="n">
        <f aca="false">SUMPRODUCT(--('My order'!$B30:$B230="Dotoreak"),--('My order'!$C30:$C230="Man"),--('My order'!$D30:$D230="M"))</f>
        <v>0</v>
      </c>
      <c r="F19" s="75" t="n">
        <f aca="false">SUMPRODUCT(--('My order'!$B30:$B230="Dotoreak"),--('My order'!$C30:$C230="Man"),--('My order'!$D30:$D230="L"))</f>
        <v>0</v>
      </c>
      <c r="G19" s="75" t="n">
        <f aca="false">SUMPRODUCT(--('My order'!$B30:$B230="Dotoreak"),--('My order'!$C30:$C230="Man"),--('My order'!$D30:$D230="XL"))</f>
        <v>0</v>
      </c>
      <c r="H19" s="75" t="n">
        <f aca="false">SUMPRODUCT(--('My order'!$B30:$B230="Dotoreak"),--('My order'!$C30:$C230="Man"),--('My order'!$D30:$D230="XXL"))</f>
        <v>0</v>
      </c>
      <c r="I19" s="75" t="n">
        <f aca="false">SUMPRODUCT(--('My order'!$B30:$B230="Dotoreak"),--('My order'!$C30:$C230="Man"),--('My order'!$D30:$D230="XXXL"))</f>
        <v>0</v>
      </c>
      <c r="J19" s="76"/>
      <c r="K19" s="78" t="s">
        <v>61</v>
      </c>
      <c r="L19" s="77"/>
      <c r="M19" s="75" t="n">
        <f aca="false">SUMPRODUCT(--('My order'!$B30:$B230="Dotoreak"),--('My order'!$C30:$C230="Woman"),--('My order'!$D30:$D230="S"))</f>
        <v>0</v>
      </c>
      <c r="N19" s="75" t="n">
        <f aca="false">SUMPRODUCT(--('My order'!$B30:$B230="Dotoreak"),--('My order'!$C30:$C230="Woman"),--('My order'!$D30:$D230="M"))</f>
        <v>0</v>
      </c>
      <c r="O19" s="75" t="n">
        <f aca="false">SUMPRODUCT(--('My order'!$B30:$B230="Dotoreak"),--('My order'!$C30:$C230="Woman"),--('My order'!$D30:$D230="L"))</f>
        <v>0</v>
      </c>
      <c r="P19" s="75" t="n">
        <f aca="false">SUMPRODUCT(--('My order'!$B30:$B230="Dotoreak"),--('My order'!$C30:$C230="Woman"),--('My order'!$D30:$D230="XL"))</f>
        <v>0</v>
      </c>
      <c r="Q19" s="75" t="n">
        <f aca="false">SUMPRODUCT(--('My order'!$B30:$B230="Dotoreak"),--('My order'!$C30:$C230="Woman"),--('My order'!$D30:$D230="XXL"))</f>
        <v>0</v>
      </c>
      <c r="R19" s="58"/>
      <c r="S19" s="78" t="s">
        <v>61</v>
      </c>
      <c r="T19" s="75" t="n">
        <f aca="false">SUMPRODUCT(--('My order'!$B30:$B230="Dotoreak"),--('My order'!$C30:$C230="Kid"),--('My order'!$D30:$D230=6))</f>
        <v>0</v>
      </c>
      <c r="U19" s="75" t="n">
        <f aca="false">SUMPRODUCT(--('My order'!$B30:$B230="Dotoreak"),--('My order'!$C30:$C230="Kid"),--('My order'!$D30:$D230=8))</f>
        <v>0</v>
      </c>
      <c r="V19" s="75" t="n">
        <f aca="false">SUMPRODUCT(--('My order'!$B30:$B230="Dotoreak"),--('My order'!$C30:$C230="Kid"),--('My order'!$D30:$D230=10))</f>
        <v>0</v>
      </c>
      <c r="W19" s="58"/>
      <c r="X19" s="58"/>
      <c r="Y19" s="58"/>
      <c r="Z19" s="59"/>
      <c r="AA19" s="59"/>
      <c r="AB19" s="59"/>
      <c r="AC19" s="59"/>
      <c r="AD19" s="59"/>
      <c r="AE19" s="59"/>
      <c r="AF19" s="59"/>
      <c r="AG19" s="59"/>
      <c r="AH19" s="59"/>
      <c r="AI19" s="59"/>
      <c r="AJ19" s="59"/>
      <c r="AK19" s="59"/>
      <c r="AL19" s="59"/>
      <c r="AM19" s="59"/>
      <c r="AN19" s="59"/>
      <c r="AO19" s="59"/>
      <c r="AP19" s="59"/>
    </row>
    <row r="20" customFormat="false" ht="12.75" hidden="false" customHeight="true" outlineLevel="0" collapsed="false">
      <c r="A20" s="58"/>
      <c r="B20" s="78" t="s">
        <v>62</v>
      </c>
      <c r="C20" s="75" t="n">
        <f aca="false">SUMPRODUCT(--('My order'!$B30:$B230="Dotoreak_LongSleeves"),--('My order'!$C30:$C230="Man"),--('My order'!$D30:$D230="XS"))</f>
        <v>0</v>
      </c>
      <c r="D20" s="75" t="n">
        <f aca="false">SUMPRODUCT(--('My order'!$B30:$B230="Dotoreak_LongSleeves"),--('My order'!$C30:$C230="Man"),--('My order'!$D30:$D230="S"))</f>
        <v>0</v>
      </c>
      <c r="E20" s="75" t="n">
        <f aca="false">SUMPRODUCT(--('My order'!$B30:$B230="Dotoreak_LongSleeves"),--('My order'!$C30:$C230="Man"),--('My order'!$D30:$D230="M"))</f>
        <v>0</v>
      </c>
      <c r="F20" s="75" t="n">
        <f aca="false">SUMPRODUCT(--('My order'!$B30:$B230="Dotoreak_LongSleeves"),--('My order'!$C30:$C230="Man"),--('My order'!$D30:$D230="L"))</f>
        <v>0</v>
      </c>
      <c r="G20" s="75" t="n">
        <f aca="false">SUMPRODUCT(--('My order'!$B30:$B230="Dotoreak_LongSleeves"),--('My order'!$C30:$C230="Man"),--('My order'!$D30:$D230="XL"))</f>
        <v>0</v>
      </c>
      <c r="H20" s="75" t="n">
        <f aca="false">SUMPRODUCT(--('My order'!$B30:$B230="Dotoreak_LongSleeves"),--('My order'!$C30:$C230="Man"),--('My order'!$D30:$D230="XXL"))</f>
        <v>0</v>
      </c>
      <c r="I20" s="75" t="n">
        <f aca="false">SUMPRODUCT(--('My order'!$B30:$B230="Dotoreak_LongSleeves"),--('My order'!$C30:$C230="Man"),--('My order'!$D30:$D230="XXXL"))</f>
        <v>0</v>
      </c>
      <c r="J20" s="76"/>
      <c r="K20" s="78" t="s">
        <v>62</v>
      </c>
      <c r="L20" s="77"/>
      <c r="M20" s="75" t="n">
        <f aca="false">SUMPRODUCT(--('My order'!$B30:$B230="Dotoreak_LongSleeves"),--('My order'!$C30:$C230="Woman"),--('My order'!$D30:$D230="S"))</f>
        <v>0</v>
      </c>
      <c r="N20" s="75" t="n">
        <f aca="false">SUMPRODUCT(--('My order'!$B30:$B230="Dotoreak_LongSleeves"),--('My order'!$C30:$C230="Woman"),--('My order'!$D30:$D230="M"))</f>
        <v>0</v>
      </c>
      <c r="O20" s="75" t="n">
        <f aca="false">SUMPRODUCT(--('My order'!$B30:$B230="Dotoreak_LongSleeves"),--('My order'!$C30:$C230="Woman"),--('My order'!$D30:$D230="L"))</f>
        <v>0</v>
      </c>
      <c r="P20" s="75" t="n">
        <f aca="false">SUMPRODUCT(--('My order'!$B30:$B230="Dotoreak_LongSleeves"),--('My order'!$C30:$C230="Woman"),--('My order'!$D30:$D230="XL"))</f>
        <v>0</v>
      </c>
      <c r="Q20" s="75" t="n">
        <f aca="false">SUMPRODUCT(--('My order'!$B30:$B230="Dotoreak_LongSleeves"),--('My order'!$C30:$C230="Woman"),--('My order'!$D30:$D230="XXL"))</f>
        <v>0</v>
      </c>
      <c r="R20" s="58"/>
      <c r="S20" s="78" t="s">
        <v>62</v>
      </c>
      <c r="T20" s="75" t="n">
        <f aca="false">SUMPRODUCT(--('My order'!$B30:$B230="Dotoreak_LongSleeves"),--('My order'!$C30:$C230="Kid"),--('My order'!$D30:$D230=6))</f>
        <v>0</v>
      </c>
      <c r="U20" s="75" t="n">
        <f aca="false">SUMPRODUCT(--('My order'!$B30:$B230="Dotoreak_LongSleeves"),--('My order'!$C30:$C230="Kid"),--('My order'!$D30:$D230=8))</f>
        <v>0</v>
      </c>
      <c r="V20" s="75" t="n">
        <f aca="false">SUMPRODUCT(--('My order'!$B30:$B230="Dotoreak_LongSleeves"),--('My order'!$C30:$C230="Kid"),--('My order'!$D30:$D230=10))</f>
        <v>0</v>
      </c>
      <c r="W20" s="58"/>
      <c r="X20" s="58"/>
      <c r="Y20" s="58"/>
      <c r="Z20" s="59"/>
      <c r="AA20" s="59"/>
      <c r="AB20" s="59"/>
      <c r="AC20" s="59"/>
      <c r="AD20" s="59"/>
      <c r="AE20" s="59"/>
      <c r="AF20" s="59"/>
      <c r="AG20" s="59"/>
      <c r="AH20" s="59"/>
      <c r="AI20" s="59"/>
      <c r="AJ20" s="59"/>
      <c r="AK20" s="59"/>
      <c r="AL20" s="59"/>
      <c r="AM20" s="59"/>
      <c r="AN20" s="59"/>
      <c r="AO20" s="59"/>
      <c r="AP20" s="59"/>
    </row>
    <row r="21" customFormat="false" ht="12.75" hidden="false" customHeight="true" outlineLevel="0" collapsed="false">
      <c r="A21" s="58"/>
      <c r="B21" s="78" t="s">
        <v>63</v>
      </c>
      <c r="C21" s="75" t="n">
        <f aca="false">SUMPRODUCT(--('My order'!$B30:$B230="Erritmo"),--('My order'!$C30:$C230="Man"),--('My order'!$D30:$D230="XS"))</f>
        <v>0</v>
      </c>
      <c r="D21" s="75" t="n">
        <f aca="false">SUMPRODUCT(--('My order'!$B30:$B230="Erritmo"),--('My order'!$C30:$C230="Man"),--('My order'!$D30:$D230="S"))</f>
        <v>0</v>
      </c>
      <c r="E21" s="75" t="n">
        <f aca="false">SUMPRODUCT(--('My order'!$B30:$B230="Erritmo"),--('My order'!$C30:$C230="Man"),--('My order'!$D30:$D230="M"))</f>
        <v>0</v>
      </c>
      <c r="F21" s="75" t="n">
        <f aca="false">SUMPRODUCT(--('My order'!$B30:$B230="Erritmo"),--('My order'!$C30:$C230="Man"),--('My order'!$D30:$D230="L"))</f>
        <v>0</v>
      </c>
      <c r="G21" s="75" t="n">
        <f aca="false">SUMPRODUCT(--('My order'!$B30:$B230="Erritmo"),--('My order'!$C30:$C230="Man"),--('My order'!$D30:$D230="XL"))</f>
        <v>0</v>
      </c>
      <c r="H21" s="75" t="n">
        <f aca="false">SUMPRODUCT(--('My order'!$B30:$B230="Erritmo"),--('My order'!$C30:$C230="Man"),--('My order'!$D30:$D230="XXL"))</f>
        <v>0</v>
      </c>
      <c r="I21" s="75" t="n">
        <f aca="false">SUMPRODUCT(--('My order'!$B30:$B230="Erritmo"),--('My order'!$C30:$C230="Man"),--('My order'!$D30:$D230="XXXL"))</f>
        <v>0</v>
      </c>
      <c r="J21" s="76"/>
      <c r="K21" s="78" t="s">
        <v>63</v>
      </c>
      <c r="L21" s="77"/>
      <c r="M21" s="75" t="n">
        <f aca="false">SUMPRODUCT(--('My order'!$B30:$B230="Erritmo"),--('My order'!$C30:$C230="Woman"),--('My order'!$D30:$D230="S"))</f>
        <v>0</v>
      </c>
      <c r="N21" s="75" t="n">
        <f aca="false">SUMPRODUCT(--('My order'!$B30:$B230="Erritmo"),--('My order'!$C30:$C230="Woman"),--('My order'!$D30:$D230="M"))</f>
        <v>0</v>
      </c>
      <c r="O21" s="75" t="n">
        <f aca="false">SUMPRODUCT(--('My order'!$B30:$B230="Erritmo"),--('My order'!$C30:$C230="Woman"),--('My order'!$D30:$D230="L"))</f>
        <v>0</v>
      </c>
      <c r="P21" s="75" t="n">
        <f aca="false">SUMPRODUCT(--('My order'!$B30:$B230="Erritmo"),--('My order'!$C30:$C230="Woman"),--('My order'!$D30:$D230="XL"))</f>
        <v>0</v>
      </c>
      <c r="Q21" s="75" t="n">
        <f aca="false">SUMPRODUCT(--('My order'!$B30:$B230="Erritmo"),--('My order'!$C30:$C230="Woman"),--('My order'!$D30:$D230="XXL"))</f>
        <v>0</v>
      </c>
      <c r="R21" s="58"/>
      <c r="S21" s="78" t="s">
        <v>63</v>
      </c>
      <c r="T21" s="75" t="n">
        <f aca="false">SUMPRODUCT(--('My order'!$B30:$B230="Erritmo"),--('My order'!$C30:$C230="Kid"),--('My order'!$D30:$D230=6))</f>
        <v>0</v>
      </c>
      <c r="U21" s="75" t="n">
        <f aca="false">SUMPRODUCT(--('My order'!$B30:$B230="Erritmo"),--('My order'!$C30:$C230="Kid"),--('My order'!$D30:$D230=8))</f>
        <v>0</v>
      </c>
      <c r="V21" s="75" t="n">
        <f aca="false">SUMPRODUCT(--('My order'!$B30:$B230="Erritmo"),--('My order'!$C30:$C230="Kid"),--('My order'!$D30:$D230=10))</f>
        <v>0</v>
      </c>
      <c r="W21" s="58"/>
      <c r="X21" s="58"/>
      <c r="Y21" s="58"/>
      <c r="Z21" s="59"/>
      <c r="AA21" s="59"/>
      <c r="AB21" s="59"/>
      <c r="AC21" s="59"/>
      <c r="AD21" s="59"/>
      <c r="AE21" s="59"/>
      <c r="AF21" s="59"/>
      <c r="AG21" s="59"/>
      <c r="AH21" s="59"/>
      <c r="AI21" s="59"/>
      <c r="AJ21" s="59"/>
      <c r="AK21" s="59"/>
      <c r="AL21" s="59"/>
      <c r="AM21" s="59"/>
      <c r="AN21" s="59"/>
      <c r="AO21" s="59"/>
      <c r="AP21" s="59"/>
    </row>
    <row r="22" customFormat="false" ht="12.75" hidden="false" customHeight="true" outlineLevel="0" collapsed="false">
      <c r="A22" s="58"/>
      <c r="B22" s="22" t="s">
        <v>64</v>
      </c>
      <c r="C22" s="75" t="n">
        <f aca="false">SUMPRODUCT(--('My order'!$B30:$B230="Iribazi"),--('My order'!$C30:$C230="Man"),--('My order'!$D30:$D230="XS"))</f>
        <v>0</v>
      </c>
      <c r="D22" s="75" t="n">
        <f aca="false">SUMPRODUCT(--('My order'!$B30:$B230="Iribazi"),--('My order'!$C30:$C230="Man"),--('My order'!$D30:$D230="S"))</f>
        <v>0</v>
      </c>
      <c r="E22" s="75" t="n">
        <f aca="false">SUMPRODUCT(--('My order'!$B30:$B230="Iribazi"),--('My order'!$C30:$C230="Man"),--('My order'!$D30:$D230="M"))</f>
        <v>0</v>
      </c>
      <c r="F22" s="75" t="n">
        <f aca="false">SUMPRODUCT(--('My order'!$B30:$B230="Iribazi"),--('My order'!$C30:$C230="Man"),--('My order'!$D30:$D230="L"))</f>
        <v>0</v>
      </c>
      <c r="G22" s="75" t="n">
        <f aca="false">SUMPRODUCT(--('My order'!$B30:$B230="Iribazi"),--('My order'!$C30:$C230="Man"),--('My order'!$D30:$D230="XL"))</f>
        <v>0</v>
      </c>
      <c r="H22" s="75" t="n">
        <f aca="false">SUMPRODUCT(--('My order'!$B30:$B230="Iribazi"),--('My order'!$C30:$C230="Man"),--('My order'!$D30:$D230="XXL"))</f>
        <v>0</v>
      </c>
      <c r="I22" s="75" t="n">
        <f aca="false">SUMPRODUCT(--('My order'!$B30:$B230="Iribazi"),--('My order'!$C30:$C230="Man"),--('My order'!$D30:$D230="XXXL"))</f>
        <v>0</v>
      </c>
      <c r="J22" s="76"/>
      <c r="K22" s="22" t="s">
        <v>64</v>
      </c>
      <c r="L22" s="77"/>
      <c r="M22" s="75" t="n">
        <f aca="false">SUMPRODUCT(--('My order'!$B30:$B230="Iribazi"),--('My order'!$C30:$C230="Woman"),--('My order'!$D30:$D230="S"))</f>
        <v>0</v>
      </c>
      <c r="N22" s="75" t="n">
        <f aca="false">SUMPRODUCT(--('My order'!$B30:$B230="Iribazi"),--('My order'!$C30:$C230="Woman"),--('My order'!$D30:$D230="M"))</f>
        <v>0</v>
      </c>
      <c r="O22" s="75" t="n">
        <f aca="false">SUMPRODUCT(--('My order'!$B30:$B230="Iribazi"),--('My order'!$C30:$C230="Woman"),--('My order'!$D30:$D230="L"))</f>
        <v>0</v>
      </c>
      <c r="P22" s="75" t="n">
        <f aca="false">SUMPRODUCT(--('My order'!$B30:$B230="Iribazi"),--('My order'!$C30:$C230="Woman"),--('My order'!$D30:$D230="XL"))</f>
        <v>0</v>
      </c>
      <c r="Q22" s="75" t="n">
        <f aca="false">SUMPRODUCT(--('My order'!$B30:$B230="Iribazi"),--('My order'!$C30:$C230="Woman"),--('My order'!$D30:$D230="XXL"))</f>
        <v>0</v>
      </c>
      <c r="R22" s="58"/>
      <c r="S22" s="22" t="s">
        <v>64</v>
      </c>
      <c r="T22" s="75" t="n">
        <f aca="false">SUMPRODUCT(--('My order'!$B30:$B230="Iribazi"),--('My order'!$C30:$C230="Kid"),--('My order'!$D30:$D230=6))</f>
        <v>0</v>
      </c>
      <c r="U22" s="75" t="n">
        <f aca="false">SUMPRODUCT(--('My order'!$B30:$B230="Iribazi"),--('My order'!$C30:$C230="Kid"),--('My order'!$D30:$D230=8))</f>
        <v>0</v>
      </c>
      <c r="V22" s="75" t="n">
        <f aca="false">SUMPRODUCT(--('My order'!$B30:$B230="Iribazi"),--('My order'!$C30:$C230="Kid"),--('My order'!$D30:$D230=10))</f>
        <v>0</v>
      </c>
      <c r="W22" s="58"/>
      <c r="X22" s="58"/>
      <c r="Y22" s="58"/>
      <c r="Z22" s="59"/>
      <c r="AA22" s="59"/>
      <c r="AB22" s="59"/>
      <c r="AC22" s="59"/>
      <c r="AD22" s="59"/>
      <c r="AE22" s="59"/>
      <c r="AF22" s="59"/>
      <c r="AG22" s="59"/>
      <c r="AH22" s="59"/>
      <c r="AI22" s="59"/>
      <c r="AJ22" s="59"/>
      <c r="AK22" s="59"/>
      <c r="AL22" s="59"/>
      <c r="AM22" s="59"/>
      <c r="AN22" s="59"/>
      <c r="AO22" s="59"/>
      <c r="AP22" s="59"/>
    </row>
    <row r="23" customFormat="false" ht="12.75" hidden="false" customHeight="true" outlineLevel="0" collapsed="false">
      <c r="A23" s="58"/>
      <c r="B23" s="78" t="s">
        <v>65</v>
      </c>
      <c r="C23" s="75" t="n">
        <f aca="false">SUMPRODUCT(--('My order'!$B30:$B230="Iribazi_LongSleeves"),--('My order'!$C30:$C230="Man"),--('My order'!$D30:$D230="XS"))</f>
        <v>0</v>
      </c>
      <c r="D23" s="75" t="n">
        <f aca="false">SUMPRODUCT(--('My order'!$B30:$B230="Iribazi_LongSleeves"),--('My order'!$C30:$C230="Man"),--('My order'!$D30:$D230="S"))</f>
        <v>0</v>
      </c>
      <c r="E23" s="75" t="n">
        <f aca="false">SUMPRODUCT(--('My order'!$B30:$B230="Iribazi_LongSleeves"),--('My order'!$C30:$C230="Man"),--('My order'!$D30:$D230="M"))</f>
        <v>0</v>
      </c>
      <c r="F23" s="75" t="n">
        <f aca="false">SUMPRODUCT(--('My order'!$B30:$B230="Iribazi_LongSleeves"),--('My order'!$C30:$C230="Man"),--('My order'!$D30:$D230="L"))</f>
        <v>0</v>
      </c>
      <c r="G23" s="75" t="n">
        <f aca="false">SUMPRODUCT(--('My order'!$B30:$B230="Iribazi_LongSleeves"),--('My order'!$C30:$C230="Man"),--('My order'!$D30:$D230="XL"))</f>
        <v>0</v>
      </c>
      <c r="H23" s="75" t="n">
        <f aca="false">SUMPRODUCT(--('My order'!$B30:$B230="Iribazi_LongSleeves"),--('My order'!$C30:$C230="Man"),--('My order'!$D30:$D230="XXL"))</f>
        <v>0</v>
      </c>
      <c r="I23" s="75" t="n">
        <f aca="false">SUMPRODUCT(--('My order'!$B30:$B230="Iribazi_LongSleeves"),--('My order'!$C30:$C230="Man"),--('My order'!$D30:$D230="XXXL"))</f>
        <v>0</v>
      </c>
      <c r="J23" s="76"/>
      <c r="K23" s="78" t="s">
        <v>65</v>
      </c>
      <c r="L23" s="77"/>
      <c r="M23" s="75" t="n">
        <f aca="false">SUMPRODUCT(--('My order'!$B30:$B230="Iribazi_LongSleeves"),--('My order'!$C30:$C230="Woman"),--('My order'!$D30:$D230="S"))</f>
        <v>0</v>
      </c>
      <c r="N23" s="75" t="n">
        <f aca="false">SUMPRODUCT(--('My order'!$B30:$B230="Iribazi_LongSleeves"),--('My order'!$C30:$C230="Woman"),--('My order'!$D30:$D230="M"))</f>
        <v>0</v>
      </c>
      <c r="O23" s="75" t="n">
        <f aca="false">SUMPRODUCT(--('My order'!$B30:$B230="Iribazi_LongSleeves"),--('My order'!$C30:$C230="Woman"),--('My order'!$D30:$D230="L"))</f>
        <v>0</v>
      </c>
      <c r="P23" s="75" t="n">
        <f aca="false">SUMPRODUCT(--('My order'!$B30:$B230="Iribazi_LongSleeves"),--('My order'!$C30:$C230="Woman"),--('My order'!$D30:$D230="XL"))</f>
        <v>0</v>
      </c>
      <c r="Q23" s="75" t="n">
        <f aca="false">SUMPRODUCT(--('My order'!$B30:$B230="Iribazi_LongSleeves"),--('My order'!$C30:$C230="Woman"),--('My order'!$D30:$D230="XXL"))</f>
        <v>0</v>
      </c>
      <c r="R23" s="58"/>
      <c r="S23" s="78" t="s">
        <v>65</v>
      </c>
      <c r="T23" s="75" t="n">
        <f aca="false">SUMPRODUCT(--('My order'!$B30:$B230="Iribazi_LongSleeves"),--('My order'!$C30:$C230="Kid"),--('My order'!$D30:$D230=6))</f>
        <v>0</v>
      </c>
      <c r="U23" s="75" t="n">
        <f aca="false">SUMPRODUCT(--('My order'!$B30:$B230="Iribazi_LongSleeves"),--('My order'!$C30:$C230="Kid"),--('My order'!$D30:$D230=8))</f>
        <v>0</v>
      </c>
      <c r="V23" s="75" t="n">
        <f aca="false">SUMPRODUCT(--('My order'!$B30:$B230="Iribazi_LongSleeves"),--('My order'!$C30:$C230="Kid"),--('My order'!$D30:$D230=10))</f>
        <v>0</v>
      </c>
      <c r="W23" s="58"/>
      <c r="X23" s="58"/>
      <c r="Y23" s="58"/>
      <c r="Z23" s="59"/>
      <c r="AA23" s="59"/>
      <c r="AB23" s="59"/>
      <c r="AC23" s="59"/>
      <c r="AD23" s="59"/>
      <c r="AE23" s="59"/>
      <c r="AF23" s="59"/>
      <c r="AG23" s="59"/>
      <c r="AH23" s="59"/>
      <c r="AI23" s="59"/>
      <c r="AJ23" s="59"/>
      <c r="AK23" s="59"/>
      <c r="AL23" s="59"/>
      <c r="AM23" s="59"/>
      <c r="AN23" s="59"/>
      <c r="AO23" s="59"/>
      <c r="AP23" s="59"/>
    </row>
    <row r="24" customFormat="false" ht="12.75" hidden="false" customHeight="true" outlineLevel="0" collapsed="false">
      <c r="A24" s="58"/>
      <c r="B24" s="22" t="s">
        <v>66</v>
      </c>
      <c r="C24" s="77"/>
      <c r="D24" s="75" t="n">
        <f aca="false">SUMPRODUCT(--('My order'!$B30:$B230="Jaketa"),--('My order'!$C30:$C230="Man"),--('My order'!$D30:$D230="S"))</f>
        <v>0</v>
      </c>
      <c r="E24" s="75" t="n">
        <f aca="false">SUMPRODUCT(--('My order'!$B30:$B230="Jaketa"),--('My order'!$C30:$C230="Man"),--('My order'!$D30:$D230="M"))</f>
        <v>0</v>
      </c>
      <c r="F24" s="75" t="n">
        <f aca="false">SUMPRODUCT(--('My order'!$B30:$B230="Jaketa"),--('My order'!$C30:$C230="Man"),--('My order'!$D30:$D230="L"))</f>
        <v>0</v>
      </c>
      <c r="G24" s="75" t="n">
        <f aca="false">SUMPRODUCT(--('My order'!$B30:$B230="Jaketa"),--('My order'!$C30:$C230="Man"),--('My order'!$D30:$D230="XL"))</f>
        <v>0</v>
      </c>
      <c r="H24" s="75" t="n">
        <f aca="false">SUMPRODUCT(--('My order'!$B30:$B230="Jaketa"),--('My order'!$C30:$C230="Man"),--('My order'!$D30:$D230="XXL"))</f>
        <v>0</v>
      </c>
      <c r="I24" s="77"/>
      <c r="J24" s="76"/>
      <c r="K24" s="22" t="s">
        <v>66</v>
      </c>
      <c r="L24" s="77"/>
      <c r="M24" s="75" t="n">
        <f aca="false">SUMPRODUCT(--('My order'!$B30:$B230="Jaketa"),--('My order'!$C30:$C230="Woman"),--('My order'!$D30:$D230="S"))</f>
        <v>0</v>
      </c>
      <c r="N24" s="75" t="n">
        <f aca="false">SUMPRODUCT(--('My order'!$B30:$B230="Jaketa"),--('My order'!$C30:$C230="Woman"),--('My order'!$D30:$D230="M"))</f>
        <v>0</v>
      </c>
      <c r="O24" s="75" t="n">
        <f aca="false">SUMPRODUCT(--('My order'!$B30:$B230="Jaketa"),--('My order'!$C30:$C230="Woman"),--('My order'!$D30:$D230="L"))</f>
        <v>0</v>
      </c>
      <c r="P24" s="75" t="n">
        <f aca="false">SUMPRODUCT(--('My order'!$B30:$B230="Jaketa"),--('My order'!$C30:$C230="Woman"),--('My order'!$D30:$D230="XL"))</f>
        <v>0</v>
      </c>
      <c r="Q24" s="77"/>
      <c r="R24" s="58"/>
      <c r="S24" s="22" t="s">
        <v>66</v>
      </c>
      <c r="T24" s="77"/>
      <c r="U24" s="77"/>
      <c r="V24" s="77"/>
      <c r="W24" s="58"/>
      <c r="X24" s="58"/>
      <c r="Y24" s="58"/>
      <c r="Z24" s="59"/>
      <c r="AA24" s="59"/>
      <c r="AB24" s="59"/>
      <c r="AC24" s="59"/>
      <c r="AD24" s="59"/>
      <c r="AE24" s="59"/>
      <c r="AF24" s="59"/>
      <c r="AG24" s="59"/>
      <c r="AH24" s="59"/>
      <c r="AI24" s="59"/>
      <c r="AJ24" s="59"/>
      <c r="AK24" s="59"/>
      <c r="AL24" s="59"/>
      <c r="AM24" s="59"/>
      <c r="AN24" s="59"/>
      <c r="AO24" s="59"/>
      <c r="AP24" s="59"/>
    </row>
    <row r="25" customFormat="false" ht="12.75" hidden="false" customHeight="true" outlineLevel="0" collapsed="false">
      <c r="A25" s="58"/>
      <c r="B25" s="22" t="s">
        <v>67</v>
      </c>
      <c r="C25" s="75" t="n">
        <f aca="false">SUMPRODUCT(--('My order'!$B30:$B230="Jauzi"),--('My order'!$C30:$C230="Man"),--('My order'!$D30:$D230="XS"))</f>
        <v>0</v>
      </c>
      <c r="D25" s="75" t="n">
        <f aca="false">SUMPRODUCT(--('My order'!$B30:$B230="Jauzi"),--('My order'!$C30:$C230="Man"),--('My order'!$D30:$D230="S"))</f>
        <v>0</v>
      </c>
      <c r="E25" s="75" t="n">
        <f aca="false">SUMPRODUCT(--('My order'!$B30:$B230="Jauzi"),--('My order'!$C30:$C230="Man"),--('My order'!$D30:$D230="M"))</f>
        <v>0</v>
      </c>
      <c r="F25" s="75" t="n">
        <f aca="false">SUMPRODUCT(--('My order'!$B30:$B230="Jauzi"),--('My order'!$C30:$C230="Man"),--('My order'!$D30:$D230="L"))</f>
        <v>0</v>
      </c>
      <c r="G25" s="75" t="n">
        <f aca="false">SUMPRODUCT(--('My order'!$B30:$B230="Jauzi"),--('My order'!$C30:$C230="Man"),--('My order'!$D30:$D230="XL"))</f>
        <v>0</v>
      </c>
      <c r="H25" s="75" t="n">
        <f aca="false">SUMPRODUCT(--('My order'!$B30:$B230="Jauzi"),--('My order'!$C30:$C230="Man"),--('My order'!$D30:$D230="XXL"))</f>
        <v>0</v>
      </c>
      <c r="I25" s="75" t="n">
        <f aca="false">SUMPRODUCT(--('My order'!$B30:$B230="Jauzi"),--('My order'!$C30:$C230="Man"),--('My order'!$D30:$D230="XXXL"))</f>
        <v>0</v>
      </c>
      <c r="J25" s="76"/>
      <c r="K25" s="22" t="s">
        <v>67</v>
      </c>
      <c r="L25" s="77"/>
      <c r="M25" s="75" t="n">
        <f aca="false">SUMPRODUCT(--('My order'!$B30:$B230="Jauzi"),--('My order'!$C30:$C230="Woman"),--('My order'!$D30:$D230="S"))</f>
        <v>0</v>
      </c>
      <c r="N25" s="75" t="n">
        <f aca="false">SUMPRODUCT(--('My order'!$B30:$B230="Jauzi"),--('My order'!$C30:$C230="Woman"),--('My order'!$D30:$D230="M"))</f>
        <v>0</v>
      </c>
      <c r="O25" s="75" t="n">
        <f aca="false">SUMPRODUCT(--('My order'!$B30:$B230="Jauzi"),--('My order'!$C30:$C230="Woman"),--('My order'!$D30:$D230="L"))</f>
        <v>0</v>
      </c>
      <c r="P25" s="75" t="n">
        <f aca="false">SUMPRODUCT(--('My order'!$B30:$B230="Jauzi"),--('My order'!$C30:$C230="Woman"),--('My order'!$D30:$D230="XL"))</f>
        <v>0</v>
      </c>
      <c r="Q25" s="75" t="n">
        <f aca="false">SUMPRODUCT(--('My order'!$B30:$B230="Jauzi"),--('My order'!$C30:$C230="Woman"),--('My order'!$D30:$D230="XXL"))</f>
        <v>0</v>
      </c>
      <c r="R25" s="58"/>
      <c r="S25" s="22" t="s">
        <v>67</v>
      </c>
      <c r="T25" s="75" t="n">
        <f aca="false">SUMPRODUCT(--('My order'!$B30:$B230="Jauzi"),--('My order'!$C30:$C230="Kid"),--('My order'!$D30:$D230=6))</f>
        <v>0</v>
      </c>
      <c r="U25" s="75" t="n">
        <f aca="false">SUMPRODUCT(--('My order'!$B30:$B230="Jauzi"),--('My order'!$C30:$C230="Kid"),--('My order'!$D30:$D230=8))</f>
        <v>0</v>
      </c>
      <c r="V25" s="75" t="n">
        <f aca="false">SUMPRODUCT(--('My order'!$B30:$B230="Jauzi"),--('My order'!$C30:$C230="Kid"),--('My order'!$D30:$D230=10))</f>
        <v>0</v>
      </c>
      <c r="W25" s="58"/>
      <c r="X25" s="58"/>
      <c r="Y25" s="58"/>
      <c r="Z25" s="59"/>
      <c r="AA25" s="59"/>
      <c r="AB25" s="59"/>
      <c r="AC25" s="59"/>
      <c r="AD25" s="59"/>
      <c r="AE25" s="59"/>
      <c r="AF25" s="59"/>
      <c r="AG25" s="59"/>
      <c r="AH25" s="59"/>
      <c r="AI25" s="59"/>
      <c r="AJ25" s="59"/>
      <c r="AK25" s="59"/>
      <c r="AL25" s="59"/>
      <c r="AM25" s="59"/>
      <c r="AN25" s="59"/>
      <c r="AO25" s="59"/>
      <c r="AP25" s="59"/>
    </row>
    <row r="26" customFormat="false" ht="12.75" hidden="false" customHeight="true" outlineLevel="0" collapsed="false">
      <c r="A26" s="58"/>
      <c r="B26" s="78" t="s">
        <v>37</v>
      </c>
      <c r="C26" s="77"/>
      <c r="D26" s="75" t="n">
        <f aca="false">SUMPRODUCT(--('My order'!$B30:$B230="Kanpaia"),--('My order'!$C30:$C230="Man"),--('My order'!$D30:$D230="S"))</f>
        <v>0</v>
      </c>
      <c r="E26" s="75" t="n">
        <f aca="false">SUMPRODUCT(--('My order'!$B30:$B230="Kanpaia"),--('My order'!$C30:$C230="Man"),--('My order'!$D30:$D230="M"))</f>
        <v>1</v>
      </c>
      <c r="F26" s="75" t="n">
        <f aca="false">SUMPRODUCT(--('My order'!$B30:$B230="Kanpaia"),--('My order'!$C30:$C230="Man"),--('My order'!$D30:$D230="L"))</f>
        <v>0</v>
      </c>
      <c r="G26" s="75" t="n">
        <f aca="false">SUMPRODUCT(--('My order'!$B30:$B230="Kanpaia"),--('My order'!$C30:$C230="Man"),--('My order'!$D30:$D230="XL"))</f>
        <v>0</v>
      </c>
      <c r="H26" s="75" t="n">
        <f aca="false">SUMPRODUCT(--('My order'!$B30:$B230="Kanpaia"),--('My order'!$C30:$C230="Man"),--('My order'!$D30:$D230="XXL"))</f>
        <v>0</v>
      </c>
      <c r="I26" s="77"/>
      <c r="J26" s="76"/>
      <c r="K26" s="78" t="s">
        <v>37</v>
      </c>
      <c r="L26" s="77"/>
      <c r="M26" s="75" t="n">
        <f aca="false">SUMPRODUCT(--('My order'!$B30:$B230="Kanpaia"),--('My order'!$C30:$C230="Woman"),--('My order'!$D30:$D230="S"))</f>
        <v>0</v>
      </c>
      <c r="N26" s="75" t="n">
        <f aca="false">SUMPRODUCT(--('My order'!$B30:$B230="Kanpaia"),--('My order'!$C30:$C230="Woman"),--('My order'!$D30:$D230="M"))</f>
        <v>2</v>
      </c>
      <c r="O26" s="75" t="n">
        <f aca="false">SUMPRODUCT(--('My order'!$B30:$B230="Kanpaia"),--('My order'!$C30:$C230="Woman"),--('My order'!$D30:$D230="L"))</f>
        <v>0</v>
      </c>
      <c r="P26" s="75" t="n">
        <f aca="false">SUMPRODUCT(--('My order'!$B30:$B230="Kanpaia"),--('My order'!$C30:$C230="Woman"),--('My order'!$D30:$D230="XL"))</f>
        <v>0</v>
      </c>
      <c r="Q26" s="77"/>
      <c r="R26" s="58"/>
      <c r="S26" s="78" t="s">
        <v>37</v>
      </c>
      <c r="T26" s="77"/>
      <c r="U26" s="77"/>
      <c r="V26" s="77"/>
      <c r="W26" s="58"/>
      <c r="X26" s="58"/>
      <c r="Y26" s="58"/>
      <c r="Z26" s="59"/>
      <c r="AA26" s="59"/>
      <c r="AB26" s="59"/>
      <c r="AC26" s="59"/>
      <c r="AD26" s="59"/>
      <c r="AE26" s="59"/>
      <c r="AF26" s="59"/>
      <c r="AG26" s="59"/>
      <c r="AH26" s="59"/>
      <c r="AI26" s="59"/>
      <c r="AJ26" s="59"/>
      <c r="AK26" s="59"/>
      <c r="AL26" s="59"/>
      <c r="AM26" s="59"/>
      <c r="AN26" s="59"/>
      <c r="AO26" s="59"/>
      <c r="AP26" s="59"/>
    </row>
    <row r="27" customFormat="false" ht="12.75" hidden="false" customHeight="true" outlineLevel="0" collapsed="false">
      <c r="A27" s="58"/>
      <c r="B27" s="22" t="s">
        <v>68</v>
      </c>
      <c r="C27" s="75" t="n">
        <f aca="false">SUMPRODUCT(--('My order'!$B30:$B230="Korrika"),--('My order'!$C30:$C230="Man"),--('My order'!$D30:$D230="XS"))</f>
        <v>0</v>
      </c>
      <c r="D27" s="75" t="n">
        <f aca="false">SUMPRODUCT(--('My order'!$B30:$B230="Korrika"),--('My order'!$C30:$C230="Man"),--('My order'!$D30:$D230="S"))</f>
        <v>0</v>
      </c>
      <c r="E27" s="75" t="n">
        <f aca="false">SUMPRODUCT(--('My order'!$B30:$B230="Korrika"),--('My order'!$C30:$C230="Man"),--('My order'!$D30:$D230="M"))</f>
        <v>0</v>
      </c>
      <c r="F27" s="75" t="n">
        <f aca="false">SUMPRODUCT(--('My order'!$B30:$B230="Korrika"),--('My order'!$C30:$C230="Man"),--('My order'!$D30:$D230="L"))</f>
        <v>0</v>
      </c>
      <c r="G27" s="75" t="n">
        <f aca="false">SUMPRODUCT(--('My order'!$B30:$B230="Korrika"),--('My order'!$C30:$C230="Man"),--('My order'!$D30:$D230="XL"))</f>
        <v>0</v>
      </c>
      <c r="H27" s="75" t="n">
        <f aca="false">SUMPRODUCT(--('My order'!$B30:$B230="Korrika"),--('My order'!$C30:$C230="Man"),--('My order'!$D30:$D230="XXL"))</f>
        <v>0</v>
      </c>
      <c r="I27" s="75" t="n">
        <f aca="false">SUMPRODUCT(--('My order'!$B30:$B230="Korrika"),--('My order'!$C30:$C230="Man"),--('My order'!$D30:$D230="XXXL"))</f>
        <v>0</v>
      </c>
      <c r="J27" s="76"/>
      <c r="K27" s="22" t="s">
        <v>68</v>
      </c>
      <c r="L27" s="77"/>
      <c r="M27" s="75" t="n">
        <f aca="false">SUMPRODUCT(--('My order'!$B30:$B230="Korrika"),--('My order'!$C30:$C230="Woman"),--('My order'!$D30:$D230="S"))</f>
        <v>0</v>
      </c>
      <c r="N27" s="75" t="n">
        <f aca="false">SUMPRODUCT(--('My order'!$B30:$B230="Korrika"),--('My order'!$C30:$C230="Woman"),--('My order'!$D30:$D230="M"))</f>
        <v>0</v>
      </c>
      <c r="O27" s="75" t="n">
        <f aca="false">SUMPRODUCT(--('My order'!$B30:$B230="Korrika"),--('My order'!$C30:$C230="Woman"),--('My order'!$D30:$D230="L"))</f>
        <v>0</v>
      </c>
      <c r="P27" s="75" t="n">
        <f aca="false">SUMPRODUCT(--('My order'!$B30:$B230="Korrika"),--('My order'!$C30:$C230="Woman"),--('My order'!$D30:$D230="XL"))</f>
        <v>0</v>
      </c>
      <c r="Q27" s="75" t="n">
        <f aca="false">SUMPRODUCT(--('My order'!$B30:$B230="Korrika"),--('My order'!$C30:$C230="Woman"),--('My order'!$D30:$D230="XXL"))</f>
        <v>0</v>
      </c>
      <c r="R27" s="58"/>
      <c r="S27" s="22" t="s">
        <v>68</v>
      </c>
      <c r="T27" s="75" t="n">
        <f aca="false">SUMPRODUCT(--('My order'!$B30:$B230="Korrika"),--('My order'!$C30:$C230="Kid"),--('My order'!$D30:$D230=6))</f>
        <v>0</v>
      </c>
      <c r="U27" s="75" t="n">
        <f aca="false">SUMPRODUCT(--('My order'!$B30:$B230="Korrika"),--('My order'!$C30:$C230="Kid"),--('My order'!$D30:$D230=8))</f>
        <v>0</v>
      </c>
      <c r="V27" s="75" t="n">
        <f aca="false">SUMPRODUCT(--('My order'!$B30:$B230="Korrika"),--('My order'!$C30:$C230="Kid"),--('My order'!$D30:$D230=10))</f>
        <v>0</v>
      </c>
      <c r="W27" s="58"/>
      <c r="X27" s="58"/>
      <c r="Y27" s="58"/>
      <c r="Z27" s="59"/>
      <c r="AA27" s="59"/>
      <c r="AB27" s="59"/>
      <c r="AC27" s="59"/>
      <c r="AD27" s="59"/>
      <c r="AE27" s="59"/>
      <c r="AF27" s="59"/>
      <c r="AG27" s="59"/>
      <c r="AH27" s="59"/>
      <c r="AI27" s="59"/>
      <c r="AJ27" s="59"/>
      <c r="AK27" s="59"/>
      <c r="AL27" s="59"/>
      <c r="AM27" s="59"/>
      <c r="AN27" s="59"/>
      <c r="AO27" s="59"/>
      <c r="AP27" s="59"/>
    </row>
    <row r="28" customFormat="false" ht="12.75" hidden="false" customHeight="true" outlineLevel="0" collapsed="false">
      <c r="A28" s="58"/>
      <c r="B28" s="22" t="s">
        <v>25</v>
      </c>
      <c r="C28" s="75" t="n">
        <f aca="false">SUMPRODUCT(--('My order'!$B30:$B230="Ohiko"),--('My order'!$C30:$C230="Man"),--('My order'!$D30:$D230="XS"))</f>
        <v>0</v>
      </c>
      <c r="D28" s="75" t="n">
        <f aca="false">SUMPRODUCT(--('My order'!$B30:$B230="Ohiko"),--('My order'!$C30:$C230="Man"),--('My order'!$D30:$D230="S"))</f>
        <v>2</v>
      </c>
      <c r="E28" s="75" t="n">
        <f aca="false">SUMPRODUCT(--('My order'!$B30:$B230="Ohiko"),--('My order'!$C30:$C230="Man"),--('My order'!$D30:$D230="M"))</f>
        <v>2</v>
      </c>
      <c r="F28" s="75" t="n">
        <f aca="false">SUMPRODUCT(--('My order'!$B30:$B230="Ohiko"),--('My order'!$C30:$C230="Man"),--('My order'!$D30:$D230="L"))</f>
        <v>2</v>
      </c>
      <c r="G28" s="75" t="n">
        <f aca="false">SUMPRODUCT(--('My order'!$B30:$B230="Ohiko"),--('My order'!$C30:$C230="Man"),--('My order'!$D30:$D230="XL"))</f>
        <v>0</v>
      </c>
      <c r="H28" s="75" t="n">
        <f aca="false">SUMPRODUCT(--('My order'!$B30:$B230="Ohiko"),--('My order'!$C30:$C230="Man"),--('My order'!$D30:$D230="XXL"))</f>
        <v>0</v>
      </c>
      <c r="I28" s="75" t="n">
        <f aca="false">SUMPRODUCT(--('My order'!$B30:$B230="Ohiko"),--('My order'!$C30:$C230="Man"),--('My order'!$D30:$D230="XXXL"))</f>
        <v>0</v>
      </c>
      <c r="J28" s="76"/>
      <c r="K28" s="22" t="s">
        <v>25</v>
      </c>
      <c r="L28" s="77"/>
      <c r="M28" s="75" t="n">
        <f aca="false">SUMPRODUCT(--('My order'!$B30:$B230="Ohiko"),--('My order'!$C30:$C230="Woman"),--('My order'!$D30:$D230="S"))</f>
        <v>0</v>
      </c>
      <c r="N28" s="75" t="n">
        <f aca="false">SUMPRODUCT(--('My order'!$B30:$B230="Ohiko"),--('My order'!$C30:$C230="Woman"),--('My order'!$D30:$D230="M"))</f>
        <v>0</v>
      </c>
      <c r="O28" s="75" t="n">
        <f aca="false">SUMPRODUCT(--('My order'!$B30:$B230="Ohiko"),--('My order'!$C30:$C230="Woman"),--('My order'!$D30:$D230="L"))</f>
        <v>2</v>
      </c>
      <c r="P28" s="75" t="n">
        <f aca="false">SUMPRODUCT(--('My order'!$B30:$B230="Ohiko"),--('My order'!$C30:$C230="Woman"),--('My order'!$D30:$D230="XL"))</f>
        <v>0</v>
      </c>
      <c r="Q28" s="75" t="n">
        <f aca="false">SUMPRODUCT(--('My order'!$B30:$B230="Ohiko"),--('My order'!$C30:$C230="Woman"),--('My order'!$D30:$D230="XXL"))</f>
        <v>0</v>
      </c>
      <c r="R28" s="58"/>
      <c r="S28" s="22" t="s">
        <v>25</v>
      </c>
      <c r="T28" s="75" t="n">
        <f aca="false">SUMPRODUCT(--('My order'!$B30:$B230="Ohiko"),--('My order'!$C30:$C230="Kid"),--('My order'!$D30:$D230=6))</f>
        <v>0</v>
      </c>
      <c r="U28" s="75" t="n">
        <f aca="false">SUMPRODUCT(--('My order'!$B30:$B230="Ohiko"),--('My order'!$C30:$C230="Kid"),--('My order'!$D30:$D230=8))</f>
        <v>0</v>
      </c>
      <c r="V28" s="75" t="n">
        <f aca="false">SUMPRODUCT(--('My order'!$B30:$B230="Ohiko"),--('My order'!$C30:$C230="Kid"),--('My order'!$D30:$D230=10))</f>
        <v>0</v>
      </c>
      <c r="W28" s="58"/>
      <c r="X28" s="58"/>
      <c r="Y28" s="58"/>
      <c r="Z28" s="59"/>
      <c r="AA28" s="59"/>
      <c r="AB28" s="59"/>
      <c r="AC28" s="59"/>
      <c r="AD28" s="59"/>
      <c r="AE28" s="59"/>
      <c r="AF28" s="59"/>
      <c r="AG28" s="59"/>
      <c r="AH28" s="59"/>
      <c r="AI28" s="59"/>
      <c r="AJ28" s="59"/>
      <c r="AK28" s="59"/>
      <c r="AL28" s="59"/>
      <c r="AM28" s="59"/>
      <c r="AN28" s="59"/>
      <c r="AO28" s="59"/>
      <c r="AP28" s="59"/>
    </row>
    <row r="29" customFormat="false" ht="12.75" hidden="false" customHeight="true" outlineLevel="0" collapsed="false">
      <c r="A29" s="58"/>
      <c r="B29" s="78" t="s">
        <v>69</v>
      </c>
      <c r="C29" s="75" t="n">
        <f aca="false">SUMPRODUCT(--('My order'!$B30:$B230="Ohiko_LongSleeves"),--('My order'!$C30:$C230="Man"),--('My order'!$D30:$D230="XS"))</f>
        <v>0</v>
      </c>
      <c r="D29" s="75" t="n">
        <f aca="false">SUMPRODUCT(--('My order'!$B30:$B230="Ohiko_LongSleeves"),--('My order'!$C30:$C230="Man"),--('My order'!$D30:$D230="S"))</f>
        <v>0</v>
      </c>
      <c r="E29" s="75" t="n">
        <f aca="false">SUMPRODUCT(--('My order'!$B30:$B230="Ohiko_LongSleeves"),--('My order'!$C30:$C230="Man"),--('My order'!$D30:$D230="M"))</f>
        <v>1</v>
      </c>
      <c r="F29" s="75" t="n">
        <f aca="false">SUMPRODUCT(--('My order'!$B30:$B230="Ohiko_LongSleeves"),--('My order'!$C30:$C230="Man"),--('My order'!$D30:$D230="L"))</f>
        <v>2</v>
      </c>
      <c r="G29" s="75" t="n">
        <f aca="false">SUMPRODUCT(--('My order'!$B30:$B230="Ohiko_LongSleeves"),--('My order'!$C30:$C230="Man"),--('My order'!$D30:$D230="XL"))</f>
        <v>0</v>
      </c>
      <c r="H29" s="75" t="n">
        <f aca="false">SUMPRODUCT(--('My order'!$B30:$B230="Ohiko_LongSleeves"),--('My order'!$C30:$C230="Man"),--('My order'!$D30:$D230="XXL"))</f>
        <v>0</v>
      </c>
      <c r="I29" s="75" t="n">
        <f aca="false">SUMPRODUCT(--('My order'!$B30:$B230="Ohiko_LongSleeves"),--('My order'!$C30:$C230="Man"),--('My order'!$D30:$D230="XXXL"))</f>
        <v>0</v>
      </c>
      <c r="J29" s="76"/>
      <c r="K29" s="78" t="s">
        <v>69</v>
      </c>
      <c r="L29" s="77"/>
      <c r="M29" s="75" t="n">
        <f aca="false">SUMPRODUCT(--('My order'!$B30:$B230="Ohiko_LongSleeves"),--('My order'!$C30:$C230="Woman"),--('My order'!$D30:$D230="S"))</f>
        <v>0</v>
      </c>
      <c r="N29" s="75" t="n">
        <f aca="false">SUMPRODUCT(--('My order'!$B30:$B230="Ohiko_LongSleeves"),--('My order'!$C30:$C230="Woman"),--('My order'!$D30:$D230="M"))</f>
        <v>0</v>
      </c>
      <c r="O29" s="75" t="n">
        <f aca="false">SUMPRODUCT(--('My order'!$B30:$B230="Ohiko_LongSleeves"),--('My order'!$C30:$C230="Woman"),--('My order'!$D30:$D230="L"))</f>
        <v>0</v>
      </c>
      <c r="P29" s="75" t="n">
        <f aca="false">SUMPRODUCT(--('My order'!$B30:$B230="Ohiko_LongSleeves"),--('My order'!$C30:$C230="Woman"),--('My order'!$D30:$D230="XL"))</f>
        <v>0</v>
      </c>
      <c r="Q29" s="75" t="n">
        <f aca="false">SUMPRODUCT(--('My order'!$B30:$B230="Ohiko_LongSleeves"),--('My order'!$C30:$C230="Woman"),--('My order'!$D30:$D230="XXL"))</f>
        <v>0</v>
      </c>
      <c r="R29" s="58"/>
      <c r="S29" s="78" t="s">
        <v>69</v>
      </c>
      <c r="T29" s="75" t="n">
        <f aca="false">SUMPRODUCT(--('My order'!$B30:$B230="Ohiko_LongSleeves"),--('My order'!$C30:$C230="Kid"),--('My order'!$D30:$D230=6))</f>
        <v>0</v>
      </c>
      <c r="U29" s="75" t="n">
        <f aca="false">SUMPRODUCT(--('My order'!$B30:$B230="Ohiko_LongSleeves"),--('My order'!$C30:$C230="Kid"),--('My order'!$D30:$D230=8))</f>
        <v>0</v>
      </c>
      <c r="V29" s="75" t="n">
        <f aca="false">SUMPRODUCT(--('My order'!$B30:$B230="Ohiko_LongSleeves"),--('My order'!$C30:$C230="Kid"),--('My order'!$D30:$D230=10))</f>
        <v>0</v>
      </c>
      <c r="W29" s="58"/>
      <c r="X29" s="58"/>
      <c r="Y29" s="58"/>
      <c r="Z29" s="59"/>
      <c r="AA29" s="59"/>
      <c r="AB29" s="59"/>
      <c r="AC29" s="59"/>
      <c r="AD29" s="59"/>
      <c r="AE29" s="59"/>
      <c r="AF29" s="59"/>
      <c r="AG29" s="59"/>
      <c r="AH29" s="59"/>
      <c r="AI29" s="59"/>
      <c r="AJ29" s="59"/>
      <c r="AK29" s="59"/>
      <c r="AL29" s="59"/>
      <c r="AM29" s="59"/>
      <c r="AN29" s="59"/>
      <c r="AO29" s="59"/>
      <c r="AP29" s="59"/>
    </row>
    <row r="30" customFormat="false" ht="12.75" hidden="false" customHeight="true" outlineLevel="0" collapsed="false">
      <c r="A30" s="58"/>
      <c r="B30" s="22" t="s">
        <v>70</v>
      </c>
      <c r="C30" s="75" t="n">
        <f aca="false">SUMPRODUCT(--('My order'!$B30:$B230="Reversible"),--('My order'!$C30:$C230="Unisex"),--('My order'!$D30:$D230="XS"))</f>
        <v>0</v>
      </c>
      <c r="D30" s="75" t="n">
        <f aca="false">SUMPRODUCT(--('My order'!$B30:$B230="Reversible"),--('My order'!$C30:$C230="Unisex"),--('My order'!$D30:$D230="S"))</f>
        <v>0</v>
      </c>
      <c r="E30" s="75" t="n">
        <f aca="false">SUMPRODUCT(--('My order'!$B30:$B230="Reversible"),--('My order'!$C30:$C230="Unisex"),--('My order'!$D30:$D230="M"))</f>
        <v>0</v>
      </c>
      <c r="F30" s="75" t="n">
        <f aca="false">SUMPRODUCT(--('My order'!$B30:$B230="Reversible"),--('My order'!$C30:$C230="Unisex"),--('My order'!$D30:$D230="L"))</f>
        <v>0</v>
      </c>
      <c r="G30" s="75" t="n">
        <f aca="false">SUMPRODUCT(--('My order'!$B30:$B230="Reversible"),--('My order'!$C30:$C230="Unisex"),--('My order'!$D30:$D230="XL"))</f>
        <v>0</v>
      </c>
      <c r="H30" s="75" t="n">
        <f aca="false">SUMPRODUCT(--('My order'!$B30:$B230="Reversible"),--('My order'!$C30:$C230="Unisex"),--('My order'!$D30:$D230="XXL"))</f>
        <v>0</v>
      </c>
      <c r="I30" s="75" t="n">
        <f aca="false">SUMPRODUCT(--('My order'!$B30:$B230="Reversible"),--('My order'!$C30:$C230="Unisex"),--('My order'!$D30:$D230="XXXL"))</f>
        <v>0</v>
      </c>
      <c r="J30" s="76"/>
      <c r="K30" s="22" t="s">
        <v>70</v>
      </c>
      <c r="L30" s="79" t="s">
        <v>71</v>
      </c>
      <c r="M30" s="79"/>
      <c r="N30" s="79"/>
      <c r="O30" s="79"/>
      <c r="P30" s="79"/>
      <c r="Q30" s="79"/>
      <c r="R30" s="58"/>
      <c r="S30" s="22" t="s">
        <v>70</v>
      </c>
      <c r="T30" s="75" t="n">
        <f aca="false">SUMPRODUCT(--('My order'!$B30:$B230="Reversible"),--('My order'!$C30:$C230="Unisex"),--('My order'!$D30:$D230=6))</f>
        <v>0</v>
      </c>
      <c r="U30" s="75" t="n">
        <f aca="false">SUMPRODUCT(--('My order'!$B30:$B230="Reversible"),--('My order'!$C30:$C230="Unisex"),--('My order'!$D30:$D230=8))</f>
        <v>0</v>
      </c>
      <c r="V30" s="75" t="n">
        <f aca="false">SUMPRODUCT(--('My order'!$B30:$B230="Reversible"),--('My order'!$C30:$C230="Unisex"),--('My order'!$D30:$D230=10))</f>
        <v>0</v>
      </c>
      <c r="W30" s="58"/>
      <c r="X30" s="58"/>
      <c r="Y30" s="58"/>
      <c r="Z30" s="59"/>
      <c r="AA30" s="59"/>
      <c r="AB30" s="59"/>
      <c r="AC30" s="59"/>
      <c r="AD30" s="59"/>
      <c r="AE30" s="59"/>
      <c r="AF30" s="59"/>
      <c r="AG30" s="59"/>
      <c r="AH30" s="59"/>
      <c r="AI30" s="59"/>
      <c r="AJ30" s="59"/>
      <c r="AK30" s="59"/>
      <c r="AL30" s="59"/>
      <c r="AM30" s="59"/>
      <c r="AN30" s="59"/>
      <c r="AO30" s="59"/>
      <c r="AP30" s="59"/>
    </row>
    <row r="31" customFormat="false" ht="12.75" hidden="false" customHeight="true" outlineLevel="0" collapsed="false">
      <c r="A31" s="58"/>
      <c r="B31" s="22" t="s">
        <v>46</v>
      </c>
      <c r="C31" s="75" t="n">
        <f aca="false">SUMPRODUCT(--('My order'!$B30:$B230="Tank"),--('My order'!$C30:$C230="Man"),--('My order'!$D30:$D230="XS"))</f>
        <v>0</v>
      </c>
      <c r="D31" s="75" t="n">
        <f aca="false">SUMPRODUCT(--('My order'!$B30:$B230="Tank"),--('My order'!$C30:$C230="Man"),--('My order'!$D30:$D230="S"))</f>
        <v>0</v>
      </c>
      <c r="E31" s="75" t="n">
        <f aca="false">SUMPRODUCT(--('My order'!$B30:$B230="Tank"),--('My order'!$C30:$C230="Man"),--('My order'!$D30:$D230="M"))</f>
        <v>0</v>
      </c>
      <c r="F31" s="75" t="n">
        <f aca="false">SUMPRODUCT(--('My order'!$B30:$B230="Tank"),--('My order'!$C30:$C230="Man"),--('My order'!$D30:$D230="L"))</f>
        <v>2</v>
      </c>
      <c r="G31" s="75" t="n">
        <f aca="false">SUMPRODUCT(--('My order'!$B30:$B230="Tank"),--('My order'!$C30:$C230="Man"),--('My order'!$D30:$D230="XL"))</f>
        <v>0</v>
      </c>
      <c r="H31" s="75" t="n">
        <f aca="false">SUMPRODUCT(--('My order'!$B30:$B230="Tank"),--('My order'!$C30:$C230="Man"),--('My order'!$D30:$D230="XXL"))</f>
        <v>0</v>
      </c>
      <c r="I31" s="75" t="n">
        <f aca="false">SUMPRODUCT(--('My order'!$B30:$B230="Tank"),--('My order'!$C30:$C230="Man"),--('My order'!$D30:$D230="XXXL"))</f>
        <v>0</v>
      </c>
      <c r="J31" s="76"/>
      <c r="K31" s="22" t="s">
        <v>46</v>
      </c>
      <c r="L31" s="77"/>
      <c r="M31" s="75" t="n">
        <f aca="false">SUMPRODUCT(--('My order'!$B30:$B230="Tank"),--('My order'!$C30:$C230="Woman"),--('My order'!$D30:$D230="S"))</f>
        <v>0</v>
      </c>
      <c r="N31" s="75" t="n">
        <f aca="false">SUMPRODUCT(--('My order'!$B30:$B230="Tank"),--('My order'!$C30:$C230="Woman"),--('My order'!$D30:$D230="M"))</f>
        <v>0</v>
      </c>
      <c r="O31" s="75" t="n">
        <f aca="false">SUMPRODUCT(--('My order'!$B30:$B230="Tank"),--('My order'!$C30:$C230="Woman"),--('My order'!$D30:$D230="L"))</f>
        <v>1</v>
      </c>
      <c r="P31" s="75" t="n">
        <f aca="false">SUMPRODUCT(--('My order'!$B30:$B230="Tank"),--('My order'!$C30:$C230="Woman"),--('My order'!$D30:$D230="XL"))</f>
        <v>0</v>
      </c>
      <c r="Q31" s="75" t="n">
        <f aca="false">SUMPRODUCT(--('My order'!$B30:$B230="Tank"),--('My order'!$C30:$C230="Woman"),--('My order'!$D30:$D230="XXL"))</f>
        <v>0</v>
      </c>
      <c r="R31" s="58"/>
      <c r="S31" s="22" t="s">
        <v>46</v>
      </c>
      <c r="T31" s="75" t="n">
        <f aca="false">SUMPRODUCT(--('My order'!$B30:$B230="Tank"),--('My order'!$C30:$C230="Kid"),--('My order'!$D30:$D230=6))</f>
        <v>0</v>
      </c>
      <c r="U31" s="75" t="n">
        <f aca="false">SUMPRODUCT(--('My order'!$B30:$B230="Tank"),--('My order'!$C30:$C230="Kid"),--('My order'!$D30:$D230=8))</f>
        <v>0</v>
      </c>
      <c r="V31" s="75" t="n">
        <f aca="false">SUMPRODUCT(--('My order'!$B30:$B230="Tank"),--('My order'!$C30:$C230="Kid"),--('My order'!$D30:$D230=10))</f>
        <v>0</v>
      </c>
      <c r="W31" s="58"/>
      <c r="X31" s="58"/>
      <c r="Y31" s="58"/>
      <c r="Z31" s="59"/>
      <c r="AA31" s="59"/>
      <c r="AB31" s="59"/>
      <c r="AC31" s="59"/>
      <c r="AD31" s="59"/>
      <c r="AE31" s="59"/>
      <c r="AF31" s="59"/>
      <c r="AG31" s="59"/>
      <c r="AH31" s="59"/>
      <c r="AI31" s="59"/>
      <c r="AJ31" s="59"/>
      <c r="AK31" s="59"/>
      <c r="AL31" s="59"/>
      <c r="AM31" s="59"/>
      <c r="AN31" s="59"/>
      <c r="AO31" s="59"/>
      <c r="AP31" s="59"/>
    </row>
    <row r="32" customFormat="false" ht="12.75" hidden="false" customHeight="true" outlineLevel="0" collapsed="false">
      <c r="A32" s="58"/>
      <c r="B32" s="22" t="s">
        <v>72</v>
      </c>
      <c r="C32" s="75" t="n">
        <f aca="false">SUMPRODUCT(--('My order'!$B30:$B230="Volley"),--('My order'!$C30:$C230="Man"),--('My order'!$D30:$D230="XS"))</f>
        <v>0</v>
      </c>
      <c r="D32" s="75" t="n">
        <f aca="false">SUMPRODUCT(--('My order'!$B30:$B230="Volley"),--('My order'!$C30:$C230="Man"),--('My order'!$D30:$D230="S"))</f>
        <v>0</v>
      </c>
      <c r="E32" s="75" t="n">
        <f aca="false">SUMPRODUCT(--('My order'!$B30:$B230="Volley"),--('My order'!$C30:$C230="Man"),--('My order'!$D30:$D230="M"))</f>
        <v>0</v>
      </c>
      <c r="F32" s="75" t="n">
        <f aca="false">SUMPRODUCT(--('My order'!$B30:$B230="Volley"),--('My order'!$C30:$C230="Man"),--('My order'!$D30:$D230="L"))</f>
        <v>0</v>
      </c>
      <c r="G32" s="75" t="n">
        <f aca="false">SUMPRODUCT(--('My order'!$B30:$B230="Volley"),--('My order'!$C30:$C230="Man"),--('My order'!$D30:$D230="XL"))</f>
        <v>0</v>
      </c>
      <c r="H32" s="75" t="n">
        <f aca="false">SUMPRODUCT(--('My order'!$B30:$B230="Volley"),--('My order'!$C30:$C230="Man"),--('My order'!$D30:$D230="XXL"))</f>
        <v>0</v>
      </c>
      <c r="I32" s="75" t="n">
        <f aca="false">SUMPRODUCT(--('My order'!$B30:$B230="Volley"),--('My order'!$C30:$C230="Man"),--('My order'!$D30:$D230="XXXL"))</f>
        <v>0</v>
      </c>
      <c r="J32" s="76"/>
      <c r="K32" s="22" t="s">
        <v>72</v>
      </c>
      <c r="L32" s="77"/>
      <c r="M32" s="75" t="n">
        <f aca="false">SUMPRODUCT(--('My order'!$B30:$B230="Volley"),--('My order'!$C30:$C230="Woman"),--('My order'!$D30:$D230="S"))</f>
        <v>0</v>
      </c>
      <c r="N32" s="75" t="n">
        <f aca="false">SUMPRODUCT(--('My order'!$B30:$B230="Volley"),--('My order'!$C30:$C230="Woman"),--('My order'!$D30:$D230="M"))</f>
        <v>0</v>
      </c>
      <c r="O32" s="75" t="n">
        <f aca="false">SUMPRODUCT(--('My order'!$B30:$B230="Volley"),--('My order'!$C30:$C230="Woman"),--('My order'!$D30:$D230="L"))</f>
        <v>0</v>
      </c>
      <c r="P32" s="75" t="n">
        <f aca="false">SUMPRODUCT(--('My order'!$B30:$B230="Volley"),--('My order'!$C30:$C230="Woman"),--('My order'!$D30:$D230="XL"))</f>
        <v>0</v>
      </c>
      <c r="Q32" s="75" t="n">
        <f aca="false">SUMPRODUCT(--('My order'!$B30:$B230="Volley"),--('My order'!$C30:$C230="Woman"),--('My order'!$D30:$D230="XXL"))</f>
        <v>0</v>
      </c>
      <c r="R32" s="58"/>
      <c r="S32" s="80" t="s">
        <v>72</v>
      </c>
      <c r="T32" s="75" t="n">
        <f aca="false">SUMPRODUCT(--('My order'!$B30:$B230="Volley"),--('My order'!$C30:$C230="Kid"),--('My order'!$D30:$D230=6))</f>
        <v>0</v>
      </c>
      <c r="U32" s="75" t="n">
        <f aca="false">SUMPRODUCT(--('My order'!$B30:$B230="Volley"),--('My order'!$C30:$C230="Kid"),--('My order'!$D30:$D230=8))</f>
        <v>0</v>
      </c>
      <c r="V32" s="75" t="n">
        <f aca="false">SUMPRODUCT(--('My order'!$B30:$B230="Volley"),--('My order'!$C30:$C230="Kid"),--('My order'!$D30:$D230=10))</f>
        <v>0</v>
      </c>
      <c r="W32" s="58"/>
      <c r="X32" s="58"/>
      <c r="Y32" s="58"/>
      <c r="Z32" s="59"/>
      <c r="AA32" s="59"/>
      <c r="AB32" s="59"/>
      <c r="AC32" s="59"/>
      <c r="AD32" s="59"/>
      <c r="AE32" s="59"/>
      <c r="AF32" s="59"/>
      <c r="AG32" s="59"/>
      <c r="AH32" s="59"/>
      <c r="AI32" s="59"/>
      <c r="AJ32" s="59"/>
      <c r="AK32" s="59"/>
      <c r="AL32" s="59"/>
      <c r="AM32" s="59"/>
      <c r="AN32" s="59"/>
      <c r="AO32" s="59"/>
      <c r="AP32" s="59"/>
    </row>
    <row r="33" customFormat="false" ht="12.75" hidden="false" customHeight="true" outlineLevel="0" collapsed="false">
      <c r="A33" s="58"/>
      <c r="B33" s="22" t="s">
        <v>73</v>
      </c>
      <c r="C33" s="77"/>
      <c r="D33" s="75" t="n">
        <f aca="false">SUMPRODUCT(--('My order'!$B30:$B230="Softshell"),--('My order'!$C30:$C230="Man"),--('My order'!$D30:$D230="S"))</f>
        <v>0</v>
      </c>
      <c r="E33" s="75" t="n">
        <f aca="false">SUMPRODUCT(--('My order'!$B30:$B230="Softshell"),--('My order'!$C30:$C230="Man"),--('My order'!$D30:$D230="M"))</f>
        <v>0</v>
      </c>
      <c r="F33" s="75" t="n">
        <f aca="false">SUMPRODUCT(--('My order'!$B30:$B230="Softshell"),--('My order'!$C30:$C230="Man"),--('My order'!$D30:$D230="L"))</f>
        <v>0</v>
      </c>
      <c r="G33" s="75" t="n">
        <f aca="false">SUMPRODUCT(--('My order'!$B30:$B230="Softshell"),--('My order'!$C30:$C230="Man"),--('My order'!$D30:$D230="XL"))</f>
        <v>0</v>
      </c>
      <c r="H33" s="75" t="n">
        <f aca="false">SUMPRODUCT(--('My order'!$B30:$B230="Softshell"),--('My order'!$C30:$C230="Man"),--('My order'!$D30:$D230="XXL"))</f>
        <v>0</v>
      </c>
      <c r="I33" s="75" t="n">
        <f aca="false">SUMPRODUCT(--('My order'!$B30:$B230="Softshell"),--('My order'!$C30:$C230="Man"),--('My order'!$D30:$D230="XXXL"))</f>
        <v>0</v>
      </c>
      <c r="J33" s="76"/>
      <c r="K33" s="22" t="s">
        <v>73</v>
      </c>
      <c r="L33" s="77"/>
      <c r="M33" s="75" t="n">
        <f aca="false">SUMPRODUCT(--('My order'!$B30:$B230="Softshell"),--('My order'!$C30:$C230="Woman"),--('My order'!$D30:$D230="S"))</f>
        <v>0</v>
      </c>
      <c r="N33" s="75" t="n">
        <f aca="false">SUMPRODUCT(--('My order'!$B30:$B230="Softshell"),--('My order'!$C30:$C230="Woman"),--('My order'!$D30:$D230="M"))</f>
        <v>0</v>
      </c>
      <c r="O33" s="75" t="n">
        <f aca="false">SUMPRODUCT(--('My order'!$B30:$B230="Softshell"),--('My order'!$C30:$C230="Woman"),--('My order'!$D30:$D230="L"))</f>
        <v>0</v>
      </c>
      <c r="P33" s="75" t="n">
        <f aca="false">SUMPRODUCT(--('My order'!$B30:$B230="Softshell"),--('My order'!$C30:$C230="Woman"),--('My order'!$D30:$D230="XL"))</f>
        <v>0</v>
      </c>
      <c r="Q33" s="75" t="n">
        <f aca="false">SUMPRODUCT(--('My order'!$B30:$B230="Softshell"),--('My order'!$C30:$C230="Woman"),--('My order'!$D30:$D230="XXL"))</f>
        <v>0</v>
      </c>
      <c r="R33" s="58"/>
      <c r="S33" s="22" t="s">
        <v>73</v>
      </c>
      <c r="T33" s="81"/>
      <c r="U33" s="81"/>
      <c r="V33" s="81"/>
      <c r="W33" s="58"/>
      <c r="X33" s="58"/>
      <c r="Y33" s="58"/>
      <c r="Z33" s="59"/>
      <c r="AA33" s="59"/>
      <c r="AB33" s="59"/>
      <c r="AC33" s="59"/>
      <c r="AD33" s="59"/>
      <c r="AE33" s="59"/>
      <c r="AF33" s="59"/>
      <c r="AG33" s="59"/>
      <c r="AH33" s="59"/>
      <c r="AI33" s="59"/>
      <c r="AJ33" s="59"/>
      <c r="AK33" s="59"/>
      <c r="AL33" s="59"/>
      <c r="AM33" s="59"/>
      <c r="AN33" s="59"/>
      <c r="AO33" s="59"/>
      <c r="AP33" s="59"/>
    </row>
    <row r="34" customFormat="false" ht="12.75" hidden="false" customHeight="true" outlineLevel="0" collapsed="false">
      <c r="A34" s="58"/>
      <c r="B34" s="22" t="s">
        <v>74</v>
      </c>
      <c r="C34" s="75" t="n">
        <f aca="false">SUMPRODUCT(--('My order'!$B30:$B230="Surf_Top"),--('My order'!$C30:$C230="Man"),--('My order'!$D30:$D230="XS"))</f>
        <v>0</v>
      </c>
      <c r="D34" s="75" t="n">
        <f aca="false">SUMPRODUCT(--('My order'!$B30:$B230="Surf_Top"),--('My order'!$C30:$C230="Man"),--('My order'!$D30:$D230="S"))</f>
        <v>0</v>
      </c>
      <c r="E34" s="75" t="n">
        <f aca="false">SUMPRODUCT(--('My order'!$B30:$B230="Surf_Top"),--('My order'!$C30:$C230="Man"),--('My order'!$D30:$D230="M"))</f>
        <v>0</v>
      </c>
      <c r="F34" s="75" t="n">
        <f aca="false">SUMPRODUCT(--('My order'!$B30:$B230="Surf_Top"),--('My order'!$C30:$C230="Man"),--('My order'!$D30:$D230="L"))</f>
        <v>0</v>
      </c>
      <c r="G34" s="75" t="n">
        <f aca="false">SUMPRODUCT(--('My order'!$B30:$B230="Surf_Top"),--('My order'!$C30:$C230="Man"),--('My order'!$D30:$D230="XL"))</f>
        <v>0</v>
      </c>
      <c r="H34" s="75" t="n">
        <f aca="false">SUMPRODUCT(--('My order'!$B30:$B230="Surf_Top"),--('My order'!$C30:$C230="Man"),--('My order'!$D30:$D230="XXL"))</f>
        <v>0</v>
      </c>
      <c r="I34" s="75" t="n">
        <f aca="false">SUMPRODUCT(--('My order'!$B30:$B230="Surf_Top"),--('My order'!$C30:$C230="Man"),--('My order'!$D30:$D230="XXXL"))</f>
        <v>0</v>
      </c>
      <c r="J34" s="76"/>
      <c r="K34" s="22" t="s">
        <v>74</v>
      </c>
      <c r="L34" s="77"/>
      <c r="M34" s="75" t="n">
        <f aca="false">SUMPRODUCT(--('My order'!$B30:$B230="Surf_Top"),--('My order'!$C30:$C230="Woman"),--('My order'!$D30:$D230="S"))</f>
        <v>0</v>
      </c>
      <c r="N34" s="75" t="n">
        <f aca="false">SUMPRODUCT(--('My order'!$B30:$B230="Surf_Top"),--('My order'!$C30:$C230="Woman"),--('My order'!$D30:$D230="M"))</f>
        <v>0</v>
      </c>
      <c r="O34" s="75" t="n">
        <f aca="false">SUMPRODUCT(--('My order'!$B30:$B230="Surf_Top"),--('My order'!$C30:$C230="Woman"),--('My order'!$D30:$D230="L"))</f>
        <v>0</v>
      </c>
      <c r="P34" s="75" t="n">
        <f aca="false">SUMPRODUCT(--('My order'!$B30:$B230="Surf_Top"),--('My order'!$C30:$C230="Woman"),--('My order'!$D30:$D230="XL"))</f>
        <v>0</v>
      </c>
      <c r="Q34" s="75" t="n">
        <f aca="false">SUMPRODUCT(--('My order'!$B30:$B230="Surf_Top"),--('My order'!$C30:$C230="Woman"),--('My order'!$D30:$D230="XXL"))</f>
        <v>0</v>
      </c>
      <c r="R34" s="58"/>
      <c r="S34" s="22" t="s">
        <v>74</v>
      </c>
      <c r="T34" s="82" t="n">
        <f aca="false">SUMPRODUCT(--('My order'!$B30:$B230="Surf_Top"),--('My order'!$C30:$C230="Kid"),--('My order'!$D30:$D230=6))</f>
        <v>0</v>
      </c>
      <c r="U34" s="82" t="n">
        <f aca="false">SUMPRODUCT(--('My order'!$B30:$B230="Surf_Top"),--('My order'!$C30:$C230="Kid"),--('My order'!$D30:$D230=8))</f>
        <v>0</v>
      </c>
      <c r="V34" s="82" t="n">
        <f aca="false">SUMPRODUCT(--('My order'!$B30:$B230="Surf_Top"),--('My order'!$C30:$C230="Kid"),--('My order'!$D30:$D230=10))</f>
        <v>0</v>
      </c>
      <c r="W34" s="58"/>
      <c r="X34" s="58"/>
      <c r="Y34" s="58"/>
      <c r="Z34" s="59"/>
      <c r="AA34" s="59"/>
      <c r="AB34" s="59"/>
      <c r="AC34" s="59"/>
      <c r="AD34" s="59"/>
      <c r="AE34" s="59"/>
      <c r="AF34" s="59"/>
      <c r="AG34" s="59"/>
      <c r="AH34" s="59"/>
      <c r="AI34" s="59"/>
      <c r="AJ34" s="59"/>
      <c r="AK34" s="59"/>
      <c r="AL34" s="59"/>
      <c r="AM34" s="59"/>
      <c r="AN34" s="59"/>
      <c r="AO34" s="59"/>
      <c r="AP34" s="59"/>
    </row>
    <row r="35" customFormat="false" ht="12.75" hidden="false" customHeight="true" outlineLevel="0" collapsed="false">
      <c r="A35" s="58"/>
      <c r="B35" s="22" t="s">
        <v>75</v>
      </c>
      <c r="C35" s="75" t="n">
        <f aca="false">SUMPRODUCT(--('My order'!$B30:$B230="Ziklo"),--('My order'!$C30:$C230="Man"),--('My order'!$D30:$D230="XS"))</f>
        <v>0</v>
      </c>
      <c r="D35" s="75" t="n">
        <f aca="false">SUMPRODUCT(--('My order'!$B30:$B230="Ziklo"),--('My order'!$C30:$C230="Man"),--('My order'!$D30:$D230="S"))</f>
        <v>0</v>
      </c>
      <c r="E35" s="75" t="n">
        <f aca="false">SUMPRODUCT(--('My order'!$B30:$B230="Ziklo"),--('My order'!$C30:$C230="Man"),--('My order'!$D30:$D230="M"))</f>
        <v>0</v>
      </c>
      <c r="F35" s="75" t="n">
        <f aca="false">SUMPRODUCT(--('My order'!$B30:$B230="Ziklo"),--('My order'!$C30:$C230="Man"),--('My order'!$D30:$D230="L"))</f>
        <v>0</v>
      </c>
      <c r="G35" s="75" t="n">
        <f aca="false">SUMPRODUCT(--('My order'!$B30:$B230="Ziklo"),--('My order'!$C30:$C230="Man"),--('My order'!$D30:$D230="XL"))</f>
        <v>0</v>
      </c>
      <c r="H35" s="75" t="n">
        <f aca="false">SUMPRODUCT(--('My order'!$B30:$B230="Ziklo"),--('My order'!$C30:$C230="Man"),--('My order'!$D30:$D230="XXL"))</f>
        <v>0</v>
      </c>
      <c r="I35" s="75" t="n">
        <f aca="false">SUMPRODUCT(--('My order'!$B30:$B230="Ziklo"),--('My order'!$C30:$C230="Man"),--('My order'!$D30:$D230="XXXL"))</f>
        <v>0</v>
      </c>
      <c r="J35" s="76"/>
      <c r="K35" s="22" t="s">
        <v>75</v>
      </c>
      <c r="L35" s="77"/>
      <c r="M35" s="75" t="n">
        <f aca="false">SUMPRODUCT(--('My order'!$B30:$B230="Ziklo"),--('My order'!$C30:$C230="Woman"),--('My order'!$D30:$D230="S"))</f>
        <v>0</v>
      </c>
      <c r="N35" s="75" t="n">
        <f aca="false">SUMPRODUCT(--('My order'!$B30:$B230="Ziklo"),--('My order'!$C30:$C230="Woman"),--('My order'!$D30:$D230="M"))</f>
        <v>0</v>
      </c>
      <c r="O35" s="75" t="n">
        <f aca="false">SUMPRODUCT(--('My order'!$B30:$B230="Ziklo"),--('My order'!$C30:$C230="Woman"),--('My order'!$D30:$D230="L"))</f>
        <v>0</v>
      </c>
      <c r="P35" s="75" t="n">
        <f aca="false">SUMPRODUCT(--('My order'!$B30:$B230="Ziklo"),--('My order'!$C30:$C230="Woman"),--('My order'!$D30:$D230="XL"))</f>
        <v>0</v>
      </c>
      <c r="Q35" s="75" t="n">
        <f aca="false">SUMPRODUCT(--('My order'!$B30:$B230="Ziklo"),--('My order'!$C30:$C230="Woman"),--('My order'!$D30:$D230="XXL"))</f>
        <v>0</v>
      </c>
      <c r="R35" s="58"/>
      <c r="S35" s="80" t="s">
        <v>75</v>
      </c>
      <c r="T35" s="82" t="n">
        <f aca="false">SUMPRODUCT(--('My order'!$B30:$B230="Ziklo"),--('My order'!$C30:$C230="Kid"),--('My order'!$D30:$D230=6))</f>
        <v>0</v>
      </c>
      <c r="U35" s="82" t="n">
        <f aca="false">SUMPRODUCT(--('My order'!$B30:$B230="Ziklo"),--('My order'!$C30:$C230="Kid"),--('My order'!$D30:$D230=8))</f>
        <v>0</v>
      </c>
      <c r="V35" s="82" t="n">
        <f aca="false">SUMPRODUCT(--('My order'!$B30:$B230="Ziklo"),--('My order'!$C30:$C230="Kid"),--('My order'!$D30:$D230=10))</f>
        <v>0</v>
      </c>
      <c r="W35" s="58"/>
      <c r="X35" s="58"/>
      <c r="Y35" s="58"/>
      <c r="Z35" s="59"/>
      <c r="AA35" s="59"/>
      <c r="AB35" s="59"/>
      <c r="AC35" s="59"/>
      <c r="AD35" s="59"/>
      <c r="AE35" s="59"/>
      <c r="AF35" s="59"/>
      <c r="AG35" s="59"/>
      <c r="AH35" s="59"/>
      <c r="AI35" s="59"/>
      <c r="AJ35" s="59"/>
      <c r="AK35" s="59"/>
      <c r="AL35" s="59"/>
      <c r="AM35" s="59"/>
      <c r="AN35" s="59"/>
      <c r="AO35" s="59"/>
      <c r="AP35" s="59"/>
    </row>
    <row r="36" customFormat="false" ht="12.75" hidden="false" customHeight="true" outlineLevel="0" collapsed="false">
      <c r="A36" s="58"/>
      <c r="B36" s="28" t="str">
        <f aca="false">IF('My order'!H2="English","Quantity by size","Quantité par taille")</f>
        <v>Quantity by size</v>
      </c>
      <c r="C36" s="83" t="n">
        <f aca="false">SUM(C11:C35)</f>
        <v>0</v>
      </c>
      <c r="D36" s="83" t="n">
        <f aca="false">SUM(D11:D35)</f>
        <v>2</v>
      </c>
      <c r="E36" s="83" t="n">
        <f aca="false">SUM(E11:E35)</f>
        <v>4</v>
      </c>
      <c r="F36" s="83" t="n">
        <f aca="false">SUM(F11:F35)</f>
        <v>8</v>
      </c>
      <c r="G36" s="83" t="n">
        <f aca="false">SUM(G11:G35)</f>
        <v>0</v>
      </c>
      <c r="H36" s="83" t="n">
        <f aca="false">SUM(H11:H35)</f>
        <v>0</v>
      </c>
      <c r="I36" s="83" t="n">
        <f aca="false">SUM(I11:I35)</f>
        <v>0</v>
      </c>
      <c r="J36" s="84"/>
      <c r="K36" s="28" t="str">
        <f aca="false">IF('My order'!H2="English","Quantity by size","Quantité par taille")</f>
        <v>Quantity by size</v>
      </c>
      <c r="L36" s="77"/>
      <c r="M36" s="83" t="n">
        <f aca="false">SUM(M11:M35)</f>
        <v>0</v>
      </c>
      <c r="N36" s="83" t="n">
        <f aca="false">SUM(N11:N35)</f>
        <v>2</v>
      </c>
      <c r="O36" s="83" t="n">
        <f aca="false">SUM(O11:O35)</f>
        <v>3</v>
      </c>
      <c r="P36" s="83" t="n">
        <f aca="false">SUM(P11:P35)</f>
        <v>0</v>
      </c>
      <c r="Q36" s="83" t="n">
        <f aca="false">SUM(Q11:Q35)</f>
        <v>0</v>
      </c>
      <c r="R36" s="58"/>
      <c r="S36" s="29" t="str">
        <f aca="false">IF('My order'!H2="English","Quantity by size","Quantité par taille")</f>
        <v>Quantity by size</v>
      </c>
      <c r="T36" s="30" t="n">
        <f aca="false">SUM(T11:T35)</f>
        <v>0</v>
      </c>
      <c r="U36" s="30" t="n">
        <f aca="false">SUM(U11:U35)</f>
        <v>0</v>
      </c>
      <c r="V36" s="30" t="n">
        <f aca="false">SUM(V11:V35)</f>
        <v>0</v>
      </c>
      <c r="W36" s="58"/>
      <c r="X36" s="58"/>
      <c r="Y36" s="58"/>
      <c r="Z36" s="59"/>
      <c r="AA36" s="59"/>
      <c r="AB36" s="59"/>
      <c r="AC36" s="59"/>
      <c r="AD36" s="59"/>
      <c r="AE36" s="59"/>
      <c r="AF36" s="59"/>
      <c r="AG36" s="59"/>
      <c r="AH36" s="59"/>
      <c r="AI36" s="59"/>
      <c r="AJ36" s="59"/>
      <c r="AK36" s="59"/>
      <c r="AL36" s="59"/>
      <c r="AM36" s="59"/>
      <c r="AN36" s="59"/>
      <c r="AO36" s="59"/>
      <c r="AP36" s="59"/>
    </row>
    <row r="37" customFormat="false" ht="12.75" hidden="false" customHeight="true" outlineLevel="0" collapsed="false">
      <c r="A37" s="58"/>
      <c r="B37" s="85" t="str">
        <f aca="false">IF('My order'!H2="English","Total Men","Total Homme")</f>
        <v>Total Men</v>
      </c>
      <c r="C37" s="69" t="n">
        <f aca="false">SUM(C36:I36)</f>
        <v>14</v>
      </c>
      <c r="D37" s="69"/>
      <c r="E37" s="69"/>
      <c r="F37" s="69"/>
      <c r="G37" s="69"/>
      <c r="H37" s="69"/>
      <c r="I37" s="69"/>
      <c r="J37" s="70"/>
      <c r="K37" s="86" t="str">
        <f aca="false">IF('My order'!H2="English","Total Women","Total Femme")</f>
        <v>Total Women</v>
      </c>
      <c r="L37" s="69" t="n">
        <f aca="false">SUM(L36:Q36)</f>
        <v>5</v>
      </c>
      <c r="M37" s="69"/>
      <c r="N37" s="69"/>
      <c r="O37" s="69"/>
      <c r="P37" s="69"/>
      <c r="Q37" s="69"/>
      <c r="R37" s="58"/>
      <c r="S37" s="86" t="str">
        <f aca="false">IF('My order'!H2="English","Total Kids","Total Enfant")</f>
        <v>Total Kids</v>
      </c>
      <c r="T37" s="69" t="n">
        <f aca="false">SUM(T36:V36)</f>
        <v>0</v>
      </c>
      <c r="U37" s="69"/>
      <c r="V37" s="69"/>
      <c r="W37" s="58"/>
      <c r="X37" s="58"/>
      <c r="Y37" s="58"/>
      <c r="Z37" s="59"/>
      <c r="AA37" s="59"/>
      <c r="AB37" s="59"/>
      <c r="AC37" s="59"/>
      <c r="AD37" s="59"/>
      <c r="AE37" s="59"/>
      <c r="AF37" s="59"/>
      <c r="AG37" s="59"/>
      <c r="AH37" s="59"/>
      <c r="AI37" s="59"/>
      <c r="AJ37" s="59"/>
      <c r="AK37" s="59"/>
      <c r="AL37" s="59"/>
      <c r="AM37" s="59"/>
      <c r="AN37" s="59"/>
      <c r="AO37" s="59"/>
      <c r="AP37" s="59"/>
    </row>
    <row r="38" customFormat="false" ht="12.75" hidden="false" customHeight="true" outlineLevel="0" collapsed="false">
      <c r="A38" s="58"/>
      <c r="J38" s="58"/>
      <c r="R38" s="58"/>
      <c r="S38" s="87"/>
      <c r="T38" s="88"/>
      <c r="U38" s="88"/>
      <c r="V38" s="70"/>
      <c r="W38" s="58"/>
      <c r="X38" s="58"/>
      <c r="Y38" s="58"/>
      <c r="Z38" s="59"/>
      <c r="AA38" s="59"/>
      <c r="AB38" s="59"/>
      <c r="AC38" s="59"/>
      <c r="AD38" s="59"/>
      <c r="AE38" s="59"/>
      <c r="AF38" s="59"/>
      <c r="AG38" s="59"/>
      <c r="AH38" s="59"/>
      <c r="AI38" s="59"/>
      <c r="AJ38" s="59"/>
      <c r="AK38" s="59"/>
      <c r="AL38" s="59"/>
      <c r="AM38" s="59"/>
      <c r="AN38" s="59"/>
      <c r="AO38" s="59"/>
      <c r="AP38" s="59"/>
    </row>
    <row r="39" customFormat="false" ht="12.75" hidden="false" customHeight="true" outlineLevel="0" collapsed="false">
      <c r="A39" s="58"/>
      <c r="B39" s="65" t="str">
        <f aca="false">IF('My order'!H2="English","Men's bottoms by size and type","Bas Homme par taille et type")</f>
        <v>Men's bottoms by size and type</v>
      </c>
      <c r="C39" s="65"/>
      <c r="D39" s="65"/>
      <c r="E39" s="65"/>
      <c r="F39" s="65"/>
      <c r="G39" s="65"/>
      <c r="H39" s="65"/>
      <c r="I39" s="65"/>
      <c r="J39" s="58"/>
      <c r="K39" s="65" t="str">
        <f aca="false">IF('My order'!H2="English","Women's bottoms by size and type","Bas Femme par taille et type")</f>
        <v>Women's bottoms by size and type</v>
      </c>
      <c r="L39" s="65"/>
      <c r="M39" s="65"/>
      <c r="N39" s="65"/>
      <c r="O39" s="65"/>
      <c r="P39" s="65"/>
      <c r="Q39" s="65"/>
      <c r="R39" s="58"/>
      <c r="S39" s="65" t="str">
        <f aca="false">IF('My order'!H2="English","Accessories","Accessoires")</f>
        <v>Accessories</v>
      </c>
      <c r="T39" s="65"/>
      <c r="U39" s="65"/>
      <c r="V39" s="70"/>
      <c r="W39" s="65" t="str">
        <f aca="false">IF('My order'!H2="English","Flags","Drapeaux")</f>
        <v>Flags</v>
      </c>
      <c r="X39" s="65"/>
      <c r="Y39" s="58"/>
      <c r="Z39" s="59"/>
      <c r="AA39" s="59"/>
      <c r="AB39" s="59"/>
      <c r="AC39" s="59"/>
      <c r="AD39" s="59"/>
      <c r="AE39" s="59"/>
      <c r="AF39" s="59"/>
      <c r="AG39" s="59"/>
      <c r="AH39" s="59"/>
      <c r="AI39" s="59"/>
      <c r="AJ39" s="59"/>
      <c r="AK39" s="59"/>
      <c r="AL39" s="59"/>
      <c r="AM39" s="59"/>
      <c r="AN39" s="59"/>
      <c r="AO39" s="59"/>
      <c r="AP39" s="59"/>
    </row>
    <row r="40" customFormat="false" ht="12.75" hidden="false" customHeight="true" outlineLevel="0" collapsed="false">
      <c r="A40" s="58"/>
      <c r="B40" s="68" t="str">
        <f aca="false">IF('My order'!H21="English","Product","Produit")</f>
        <v>Produit</v>
      </c>
      <c r="C40" s="69" t="str">
        <f aca="false">IF('My order'!H21="English","Quantity","Quantité")</f>
        <v>Quantité</v>
      </c>
      <c r="D40" s="69"/>
      <c r="E40" s="69"/>
      <c r="F40" s="69"/>
      <c r="G40" s="69"/>
      <c r="H40" s="69"/>
      <c r="I40" s="69"/>
      <c r="J40" s="58"/>
      <c r="K40" s="68" t="str">
        <f aca="false">IF('My order'!H21="English","Product","Produit")</f>
        <v>Produit</v>
      </c>
      <c r="L40" s="71"/>
      <c r="M40" s="69" t="str">
        <f aca="false">IF('My order'!H21="English","Quantity","Quantité")</f>
        <v>Quantité</v>
      </c>
      <c r="N40" s="69"/>
      <c r="O40" s="69"/>
      <c r="P40" s="69"/>
      <c r="Q40" s="69"/>
      <c r="R40" s="58"/>
      <c r="S40" s="89" t="str">
        <f aca="false">IF('My order'!H2="English","Product","Produit")</f>
        <v>Product</v>
      </c>
      <c r="T40" s="69" t="str">
        <f aca="false">IF('My order'!H2="English","Quantity","Quantité")</f>
        <v>Quantity</v>
      </c>
      <c r="U40" s="69"/>
      <c r="V40" s="58"/>
      <c r="W40" s="89" t="str">
        <f aca="false">IF('My order'!L2="English","Product","Produit")</f>
        <v>Produit</v>
      </c>
      <c r="X40" s="69" t="str">
        <f aca="false">IF('My order'!L2="English","Quantity","Quantité")</f>
        <v>Quantité</v>
      </c>
      <c r="Y40" s="58"/>
      <c r="Z40" s="59"/>
      <c r="AA40" s="59"/>
      <c r="AB40" s="59"/>
      <c r="AC40" s="59"/>
      <c r="AD40" s="59"/>
      <c r="AE40" s="59"/>
      <c r="AF40" s="59"/>
      <c r="AG40" s="59"/>
      <c r="AH40" s="59"/>
      <c r="AI40" s="59"/>
      <c r="AJ40" s="59"/>
      <c r="AK40" s="59"/>
      <c r="AL40" s="59"/>
      <c r="AM40" s="59"/>
      <c r="AN40" s="59"/>
      <c r="AO40" s="59"/>
      <c r="AP40" s="59"/>
    </row>
    <row r="41" customFormat="false" ht="12.75" hidden="false" customHeight="true" outlineLevel="0" collapsed="false">
      <c r="A41" s="58"/>
      <c r="B41" s="68"/>
      <c r="C41" s="72" t="s">
        <v>51</v>
      </c>
      <c r="D41" s="72" t="s">
        <v>27</v>
      </c>
      <c r="E41" s="72" t="s">
        <v>33</v>
      </c>
      <c r="F41" s="72" t="s">
        <v>40</v>
      </c>
      <c r="G41" s="72" t="s">
        <v>44</v>
      </c>
      <c r="H41" s="72" t="s">
        <v>52</v>
      </c>
      <c r="I41" s="72" t="s">
        <v>53</v>
      </c>
      <c r="J41" s="58"/>
      <c r="K41" s="68"/>
      <c r="L41" s="71" t="s">
        <v>51</v>
      </c>
      <c r="M41" s="72" t="s">
        <v>27</v>
      </c>
      <c r="N41" s="72" t="s">
        <v>33</v>
      </c>
      <c r="O41" s="72" t="s">
        <v>40</v>
      </c>
      <c r="P41" s="72" t="s">
        <v>44</v>
      </c>
      <c r="Q41" s="72" t="s">
        <v>52</v>
      </c>
      <c r="R41" s="58"/>
      <c r="S41" s="89"/>
      <c r="T41" s="90" t="s">
        <v>76</v>
      </c>
      <c r="U41" s="90" t="s">
        <v>77</v>
      </c>
      <c r="V41" s="58"/>
      <c r="W41" s="78" t="str">
        <f aca="false">IF('My order'!H2="English","Flag 150x85","Drapeau 150x85")</f>
        <v>Flag 150x85</v>
      </c>
      <c r="X41" s="75" t="n">
        <f aca="false">SUMPRODUCT(--('My order'!$B30:$B230="Rectangular_Flag"),--('My order'!$D30:$D230="150x85"))</f>
        <v>0</v>
      </c>
      <c r="Y41" s="58"/>
      <c r="Z41" s="59"/>
      <c r="AA41" s="59"/>
      <c r="AB41" s="59"/>
      <c r="AC41" s="59"/>
      <c r="AD41" s="59"/>
      <c r="AE41" s="59"/>
      <c r="AF41" s="59"/>
      <c r="AG41" s="59"/>
      <c r="AH41" s="59"/>
      <c r="AI41" s="59"/>
      <c r="AJ41" s="59"/>
      <c r="AK41" s="59"/>
      <c r="AL41" s="59"/>
      <c r="AM41" s="59"/>
      <c r="AN41" s="59"/>
      <c r="AO41" s="59"/>
      <c r="AP41" s="59"/>
    </row>
    <row r="42" customFormat="false" ht="12.75" hidden="false" customHeight="true" outlineLevel="0" collapsed="false">
      <c r="A42" s="58"/>
      <c r="B42" s="22" t="s">
        <v>78</v>
      </c>
      <c r="C42" s="75" t="n">
        <f aca="false">SUMPRODUCT(--('My order'!$B30:$B230="Half_Leg"),--('My order'!$C30:$C230="Man"),--('My order'!$D30:$D230="XS"))</f>
        <v>0</v>
      </c>
      <c r="D42" s="75" t="n">
        <f aca="false">SUMPRODUCT(--('My order'!$B30:$B230="Half_Leg"),--('My order'!$C30:$C230="Man"),--('My order'!$D30:$D230="S"))</f>
        <v>0</v>
      </c>
      <c r="E42" s="75" t="n">
        <f aca="false">SUMPRODUCT(--('My order'!$B30:$B230="Half_Leg"),--('My order'!$C30:$C230="Man"),--('My order'!$D30:$D230="M"))</f>
        <v>0</v>
      </c>
      <c r="F42" s="75" t="n">
        <f aca="false">SUMPRODUCT(--('My order'!$B30:$B230="Half_Leg"),--('My order'!$C30:$C230="Man"),--('My order'!$D30:$D230="L"))</f>
        <v>0</v>
      </c>
      <c r="G42" s="75" t="n">
        <f aca="false">SUMPRODUCT(--('My order'!$B30:$B230="Half_Leg"),--('My order'!$C30:$C230="Man"),--('My order'!$D30:$D230="XL"))</f>
        <v>0</v>
      </c>
      <c r="H42" s="75" t="n">
        <f aca="false">SUMPRODUCT(--('My order'!$B30:$B230="Half_Leg"),--('My order'!$C30:$C230="Man"),--('My order'!$D30:$D230="XXL"))</f>
        <v>0</v>
      </c>
      <c r="I42" s="77"/>
      <c r="J42" s="76"/>
      <c r="K42" s="22" t="s">
        <v>78</v>
      </c>
      <c r="L42" s="91" t="n">
        <f aca="false">SUMPRODUCT(--('My order'!$B30:$B230="Half_Leg"),--('My order'!$C30:$C230="Woman"),--('My order'!$D30:$D230="XS"))</f>
        <v>0</v>
      </c>
      <c r="M42" s="75" t="n">
        <f aca="false">SUMPRODUCT(--('My order'!$B30:$B230="Half_Leg"),--('My order'!$C30:$C230="Woman"),--('My order'!$D30:$D230="S"))</f>
        <v>0</v>
      </c>
      <c r="N42" s="75" t="n">
        <f aca="false">SUMPRODUCT(--('My order'!$B30:$B230="Half_Leg"),--('My order'!$C30:$C230="Woman"),--('My order'!$D30:$D230="M"))</f>
        <v>0</v>
      </c>
      <c r="O42" s="75" t="n">
        <f aca="false">SUMPRODUCT(--('My order'!$B30:$B230="Half_Leg"),--('My order'!$C30:$C230="Woman"),--('My order'!$D30:$D230="L"))</f>
        <v>0</v>
      </c>
      <c r="P42" s="75" t="n">
        <f aca="false">SUMPRODUCT(--('My order'!$B30:$B230="Half_Leg"),--('My order'!$C30:$C230="Woman"),--('My order'!$D30:$D230="XL"))</f>
        <v>0</v>
      </c>
      <c r="Q42" s="75" t="n">
        <f aca="false">SUMPRODUCT(--('My order'!$B30:$B230="Half_Leg"),--('My order'!$C30:$C230="Woman"),--('My order'!$D30:$D230="XXL"))</f>
        <v>0</v>
      </c>
      <c r="R42" s="58"/>
      <c r="S42" s="78" t="str">
        <f aca="false">IF('My order'!H2="English","Sleeves Men","Manches Homme")</f>
        <v>Sleeves Men</v>
      </c>
      <c r="T42" s="75" t="n">
        <f aca="false">SUMPRODUCT(--('My order'!$B30:$B230="Compression_Sleeves"),--('My order'!$C30:$C230="Man"),--('My order'!$D30:$D230="S-M"))</f>
        <v>0</v>
      </c>
      <c r="U42" s="75" t="n">
        <f aca="false">SUMPRODUCT(--('My order'!$B30:$B230="Compression_Sleeves"),--('My order'!$C30:$C230="Man"),--('My order'!$D30:$D230="L-XL"))</f>
        <v>0</v>
      </c>
      <c r="V42" s="58"/>
      <c r="W42" s="78" t="str">
        <f aca="false">IF('My order'!H2="English","Flag 134x123","Drapeau 134x123")</f>
        <v>Flag 134x123</v>
      </c>
      <c r="X42" s="75" t="n">
        <f aca="false">SUMPRODUCT(--('My order'!$B30:$B230="Rectangular_Flag"),--('My order'!$D30:$D230="134x123"))</f>
        <v>0</v>
      </c>
      <c r="Y42" s="58"/>
      <c r="Z42" s="59"/>
      <c r="AA42" s="59"/>
      <c r="AB42" s="59"/>
      <c r="AC42" s="59"/>
      <c r="AD42" s="59"/>
      <c r="AE42" s="59"/>
      <c r="AF42" s="59"/>
      <c r="AG42" s="59"/>
      <c r="AH42" s="59"/>
      <c r="AI42" s="59"/>
      <c r="AJ42" s="59"/>
      <c r="AK42" s="59"/>
      <c r="AL42" s="59"/>
      <c r="AM42" s="59"/>
      <c r="AN42" s="59"/>
      <c r="AO42" s="59"/>
      <c r="AP42" s="59"/>
    </row>
    <row r="43" customFormat="false" ht="12.75" hidden="false" customHeight="true" outlineLevel="0" collapsed="false">
      <c r="A43" s="58"/>
      <c r="B43" s="22" t="s">
        <v>79</v>
      </c>
      <c r="C43" s="75" t="n">
        <f aca="false">SUMPRODUCT(--('My order'!$B30:$B230="Korsair"),--('My order'!$C30:$C230="Man"),--('My order'!$D30:$D230="XS"))</f>
        <v>0</v>
      </c>
      <c r="D43" s="75" t="n">
        <f aca="false">SUMPRODUCT(--('My order'!$B30:$B230="Korsair"),--('My order'!$C30:$C230="Man"),--('My order'!$D30:$D230="S"))</f>
        <v>0</v>
      </c>
      <c r="E43" s="75" t="n">
        <f aca="false">SUMPRODUCT(--('My order'!$B30:$B230="Korsair"),--('My order'!$C30:$C230="Man"),--('My order'!$D30:$D230="M"))</f>
        <v>0</v>
      </c>
      <c r="F43" s="75" t="n">
        <f aca="false">SUMPRODUCT(--('My order'!$B30:$B230="Korsair"),--('My order'!$C30:$C230="Man"),--('My order'!$D30:$D230="L"))</f>
        <v>0</v>
      </c>
      <c r="G43" s="75" t="n">
        <f aca="false">SUMPRODUCT(--('My order'!$B30:$B230="Korsair"),--('My order'!$C30:$C230="Man"),--('My order'!$D30:$D230="XL"))</f>
        <v>0</v>
      </c>
      <c r="H43" s="75" t="n">
        <f aca="false">SUMPRODUCT(--('My order'!$B30:$B230="Korsair"),--('My order'!$C30:$C230="Man"),--('My order'!$D30:$D230="XXL"))</f>
        <v>0</v>
      </c>
      <c r="I43" s="77"/>
      <c r="J43" s="76"/>
      <c r="K43" s="22" t="s">
        <v>79</v>
      </c>
      <c r="L43" s="91" t="n">
        <f aca="false">SUMPRODUCT(--('My order'!$B30:$B230="Korsair"),--('My order'!$C30:$C230="Woman"),--('My order'!$D30:$D230="XS"))</f>
        <v>0</v>
      </c>
      <c r="M43" s="75" t="n">
        <f aca="false">SUMPRODUCT(--('My order'!$B30:$B230="Korsair"),--('My order'!$C30:$C230="Woman"),--('My order'!$D30:$D230="S"))</f>
        <v>0</v>
      </c>
      <c r="N43" s="75" t="n">
        <f aca="false">SUMPRODUCT(--('My order'!$B30:$B230="Korsair"),--('My order'!$C30:$C230="Woman"),--('My order'!$D30:$D230="M"))</f>
        <v>0</v>
      </c>
      <c r="O43" s="75" t="n">
        <f aca="false">SUMPRODUCT(--('My order'!$B30:$B230="Korsair"),--('My order'!$C30:$C230="Woman"),--('My order'!$D30:$D230="L"))</f>
        <v>0</v>
      </c>
      <c r="P43" s="75" t="n">
        <f aca="false">SUMPRODUCT(--('My order'!$B30:$B230="Korsair"),--('My order'!$C30:$C230="Woman"),--('My order'!$D30:$D230="XL"))</f>
        <v>0</v>
      </c>
      <c r="Q43" s="75" t="n">
        <f aca="false">SUMPRODUCT(--('My order'!$B30:$B230="Korsair"),--('My order'!$C30:$C230="Woman"),--('My order'!$D30:$D230="XXL"))</f>
        <v>0</v>
      </c>
      <c r="R43" s="58"/>
      <c r="S43" s="78" t="str">
        <f aca="false">IF('My order'!H2="English","Sleeves Women","Manches Femme")</f>
        <v>Sleeves Women</v>
      </c>
      <c r="T43" s="82" t="n">
        <f aca="false">SUMPRODUCT(--('My order'!$B30:$B230="Compression_Sleeves"),--('My order'!$C30:$C230="Woman"),--('My order'!$D30:$D230="S-M"))</f>
        <v>0</v>
      </c>
      <c r="U43" s="82" t="n">
        <f aca="false">SUMPRODUCT(--('My order'!$B30:$B230="Compression_Sleeves"),--('My order'!$C30:$C230="Woman"),--('My order'!$D30:$D230="L-XL"))</f>
        <v>0</v>
      </c>
      <c r="V43" s="58"/>
      <c r="W43" s="78" t="str">
        <f aca="false">IF('My order'!H2="English","Beach Flag 450x80","Oriflamme 450x80")</f>
        <v>Beach Flag 450x80</v>
      </c>
      <c r="X43" s="75" t="n">
        <f aca="false">SUMPRODUCT(--('My order'!$B30:$B230="Beach_Flag"),--('My order'!$D30:$D230="450x80"))</f>
        <v>0</v>
      </c>
      <c r="Y43" s="58"/>
      <c r="Z43" s="59"/>
      <c r="AA43" s="59"/>
      <c r="AB43" s="59"/>
      <c r="AC43" s="59"/>
      <c r="AD43" s="59"/>
      <c r="AE43" s="59"/>
      <c r="AF43" s="59"/>
      <c r="AG43" s="59"/>
      <c r="AH43" s="59"/>
      <c r="AI43" s="59"/>
      <c r="AJ43" s="59"/>
      <c r="AK43" s="59"/>
      <c r="AL43" s="59"/>
      <c r="AM43" s="59"/>
      <c r="AN43" s="59"/>
      <c r="AO43" s="59"/>
      <c r="AP43" s="59"/>
    </row>
    <row r="44" customFormat="false" ht="12.75" hidden="false" customHeight="true" outlineLevel="0" collapsed="false">
      <c r="A44" s="58"/>
      <c r="B44" s="22" t="s">
        <v>80</v>
      </c>
      <c r="C44" s="75" t="n">
        <f aca="false">SUMPRODUCT(--('My order'!$B30:$B230="Korsair_Plus"),--('My order'!$C30:$C230="Man"),--('My order'!$D30:$D230="XS"))</f>
        <v>0</v>
      </c>
      <c r="D44" s="75" t="n">
        <f aca="false">SUMPRODUCT(--('My order'!$B30:$B230="Korsair_Plus"),--('My order'!$C30:$C230="Man"),--('My order'!$D30:$D230="S"))</f>
        <v>0</v>
      </c>
      <c r="E44" s="75" t="n">
        <f aca="false">SUMPRODUCT(--('My order'!$B30:$B230="Korsair_Plus"),--('My order'!$C30:$C230="Man"),--('My order'!$D30:$D230="M"))</f>
        <v>0</v>
      </c>
      <c r="F44" s="75" t="n">
        <f aca="false">SUMPRODUCT(--('My order'!$B30:$B230="Korsair_Plus"),--('My order'!$C30:$C230="Man"),--('My order'!$D30:$D230="L"))</f>
        <v>0</v>
      </c>
      <c r="G44" s="75" t="n">
        <f aca="false">SUMPRODUCT(--('My order'!$B30:$B230="Korsair_Plus"),--('My order'!$C30:$C230="Man"),--('My order'!$D30:$D230="XL"))</f>
        <v>0</v>
      </c>
      <c r="H44" s="75" t="n">
        <f aca="false">SUMPRODUCT(--('My order'!$B30:$B230="Korsair_Plus"),--('My order'!$C30:$C230="Man"),--('My order'!$D30:$D230="XXL"))</f>
        <v>0</v>
      </c>
      <c r="I44" s="77"/>
      <c r="J44" s="76"/>
      <c r="K44" s="22" t="s">
        <v>79</v>
      </c>
      <c r="L44" s="91" t="n">
        <f aca="false">SUMPRODUCT(--('My order'!$B30:$B230="Korsair_Plus"),--('My order'!$C30:$C230="Woman"),--('My order'!$D30:$D230="XS"))</f>
        <v>0</v>
      </c>
      <c r="M44" s="75" t="n">
        <f aca="false">SUMPRODUCT(--('My order'!$B30:$B230="Korsair_Plus"),--('My order'!$C30:$C230="Woman"),--('My order'!$D30:$D230="S"))</f>
        <v>0</v>
      </c>
      <c r="N44" s="75" t="n">
        <f aca="false">SUMPRODUCT(--('My order'!$B30:$B230="Korsair_Plus"),--('My order'!$C30:$C230="Woman"),--('My order'!$D30:$D230="M"))</f>
        <v>0</v>
      </c>
      <c r="O44" s="75" t="n">
        <f aca="false">SUMPRODUCT(--('My order'!$B30:$B230="Korsair_Plus"),--('My order'!$C30:$C230="Woman"),--('My order'!$D30:$D230="L"))</f>
        <v>0</v>
      </c>
      <c r="P44" s="75" t="n">
        <f aca="false">SUMPRODUCT(--('My order'!$B30:$B230="Korsair_Plus"),--('My order'!$C30:$C230="Woman"),--('My order'!$D30:$D230="XL"))</f>
        <v>0</v>
      </c>
      <c r="Q44" s="75" t="n">
        <f aca="false">SUMPRODUCT(--('My order'!$B30:$B230="Korsair_Plus"),--('My order'!$C30:$C230="Woman"),--('My order'!$D30:$D230="XXL"))</f>
        <v>0</v>
      </c>
      <c r="R44" s="58"/>
      <c r="S44" s="92" t="str">
        <f aca="false">IF('My order'!H2="English","Total Sleeves","Total Manches")</f>
        <v>Total Sleeves</v>
      </c>
      <c r="T44" s="69" t="n">
        <f aca="false">SUM(T42:U43)</f>
        <v>0</v>
      </c>
      <c r="U44" s="69"/>
      <c r="V44" s="58"/>
      <c r="W44" s="78" t="str">
        <f aca="false">IF('My order'!H2="English","Beach Flag 350x62","Oriflamme 350x62")</f>
        <v>Beach Flag 350x62</v>
      </c>
      <c r="X44" s="75" t="n">
        <f aca="false">SUMPRODUCT(--('My order'!$B31:$B231="Beach_Flag"),--('My order'!$D31:$D231="350x62"))</f>
        <v>0</v>
      </c>
      <c r="Y44" s="58"/>
      <c r="Z44" s="59"/>
      <c r="AA44" s="59"/>
      <c r="AB44" s="59"/>
      <c r="AC44" s="59"/>
      <c r="AD44" s="59"/>
      <c r="AE44" s="59"/>
      <c r="AF44" s="59"/>
      <c r="AG44" s="59"/>
      <c r="AH44" s="59"/>
      <c r="AI44" s="59"/>
      <c r="AJ44" s="59"/>
      <c r="AK44" s="59"/>
      <c r="AL44" s="59"/>
      <c r="AM44" s="59"/>
      <c r="AN44" s="59"/>
      <c r="AO44" s="59"/>
      <c r="AP44" s="59"/>
    </row>
    <row r="45" customFormat="false" ht="12.75" hidden="false" customHeight="true" outlineLevel="0" collapsed="false">
      <c r="A45" s="58"/>
      <c r="B45" s="22" t="s">
        <v>81</v>
      </c>
      <c r="C45" s="75" t="n">
        <f aca="false">SUMPRODUCT(--('My order'!$B30:$B230="Legging"),--('My order'!$C30:$C230="Man"),--('My order'!$D30:$D230="XS"))</f>
        <v>0</v>
      </c>
      <c r="D45" s="75" t="n">
        <f aca="false">SUMPRODUCT(--('My order'!$B30:$B230="Legging"),--('My order'!$C30:$C230="Man"),--('My order'!$D30:$D230="M"))</f>
        <v>0</v>
      </c>
      <c r="E45" s="75" t="n">
        <f aca="false">SUMPRODUCT(--('My order'!$B30:$B230="Legging"),--('My order'!$C30:$C230="Man"),--('My order'!$D30:$D230="L"))</f>
        <v>0</v>
      </c>
      <c r="F45" s="75" t="n">
        <f aca="false">SUMPRODUCT(--('My order'!$B30:$B230="Legging"),--('My order'!$C30:$C230="Man"),--('My order'!$D30:$D230="L"))</f>
        <v>0</v>
      </c>
      <c r="G45" s="75" t="n">
        <f aca="false">SUMPRODUCT(--('My order'!$B30:$B230="Legging"),--('My order'!$C30:$C230="Man"),--('My order'!$D30:$D230="XL"))</f>
        <v>0</v>
      </c>
      <c r="H45" s="75" t="n">
        <f aca="false">SUMPRODUCT(--('My order'!$B30:$B230="Legging"),--('My order'!$C30:$C230="Man"),--('My order'!$D30:$D230="XXL"))</f>
        <v>0</v>
      </c>
      <c r="I45" s="77"/>
      <c r="J45" s="76"/>
      <c r="K45" s="22" t="s">
        <v>81</v>
      </c>
      <c r="L45" s="91" t="n">
        <f aca="false">SUMPRODUCT(--('My order'!$B30:$B230="Legging"),--('My order'!$C30:$C230="Woman"),--('My order'!$D30:$D230="XS"))</f>
        <v>0</v>
      </c>
      <c r="M45" s="75" t="n">
        <f aca="false">SUMPRODUCT(--('My order'!$B30:$B230="Legging"),--('My order'!$C30:$C230="Woman"),--('My order'!$D30:$D230="S"))</f>
        <v>0</v>
      </c>
      <c r="N45" s="75" t="n">
        <f aca="false">SUMPRODUCT(--('My order'!$B30:$B230="Legging"),--('My order'!$C30:$C230="Woman"),--('My order'!$D30:$D230="M"))</f>
        <v>0</v>
      </c>
      <c r="O45" s="75" t="n">
        <f aca="false">SUMPRODUCT(--('My order'!$B30:$B230="Legging"),--('My order'!$C30:$C230="Woman"),--('My order'!$D30:$D230="L"))</f>
        <v>0</v>
      </c>
      <c r="P45" s="75" t="n">
        <f aca="false">SUMPRODUCT(--('My order'!$B30:$B230="Legging"),--('My order'!$C30:$C230="Woman"),--('My order'!$D30:$D230="XL"))</f>
        <v>0</v>
      </c>
      <c r="Q45" s="75" t="n">
        <f aca="false">SUMPRODUCT(--('My order'!$B30:$B230="Legging"),--('My order'!$C30:$C230="Woman"),--('My order'!$D30:$D230="XXL"))</f>
        <v>0</v>
      </c>
      <c r="R45" s="58"/>
      <c r="S45" s="78" t="str">
        <f aca="false">IF('My order'!H2="English","Flexfit Cap","Casquette Flexfit")</f>
        <v>Flexfit Cap</v>
      </c>
      <c r="T45" s="75" t="n">
        <f aca="false">SUMPRODUCT(--('My order'!$B30:$B230="Cap"),--('My order'!$C30:$C230="Flexfit"),--('My order'!$D30:$D230="S-M"))</f>
        <v>0</v>
      </c>
      <c r="U45" s="75" t="n">
        <f aca="false">SUMPRODUCT(--('My order'!$B30:$B230="Cap"),--('My order'!$C30:$C230="Flexfit"),--('My order'!$D30:$D230="L-XL"))</f>
        <v>0</v>
      </c>
      <c r="V45" s="58"/>
      <c r="W45" s="78" t="str">
        <f aca="false">IF('My order'!H2="English","Beach Flag 250x48","Oriflamme 250x48")</f>
        <v>Beach Flag 250x48</v>
      </c>
      <c r="X45" s="75" t="n">
        <f aca="false">SUMPRODUCT(--('My order'!$B32:$B232="Beach_Flag"),--('My order'!$D32:$D232="250x48"))</f>
        <v>0</v>
      </c>
      <c r="Y45" s="58"/>
      <c r="Z45" s="59"/>
      <c r="AA45" s="59"/>
      <c r="AB45" s="59"/>
      <c r="AC45" s="59"/>
      <c r="AD45" s="59"/>
      <c r="AE45" s="59"/>
      <c r="AF45" s="59"/>
      <c r="AG45" s="59"/>
      <c r="AH45" s="59"/>
      <c r="AI45" s="59"/>
      <c r="AJ45" s="59"/>
      <c r="AK45" s="59"/>
      <c r="AL45" s="59"/>
      <c r="AM45" s="59"/>
      <c r="AN45" s="59"/>
      <c r="AO45" s="59"/>
      <c r="AP45" s="59"/>
    </row>
    <row r="46" customFormat="false" ht="12.75" hidden="false" customHeight="true" outlineLevel="0" collapsed="false">
      <c r="A46" s="58"/>
      <c r="B46" s="22" t="s">
        <v>82</v>
      </c>
      <c r="C46" s="75" t="n">
        <f aca="false">SUMPRODUCT(--('My order'!$B30:$B230="Underwear"),--('My order'!$C30:$C230="Man"),--('My order'!$D30:$D230="XS"))</f>
        <v>0</v>
      </c>
      <c r="D46" s="75" t="n">
        <f aca="false">SUMPRODUCT(--('My order'!$B30:$B230="Underwear"),--('My order'!$C30:$C230="Man"),--('My order'!$D30:$D230="S"))</f>
        <v>0</v>
      </c>
      <c r="E46" s="75" t="n">
        <f aca="false">SUMPRODUCT(--('My order'!$B30:$B230="Underwear"),--('My order'!$C30:$C230="Man"),--('My order'!$D30:$D230="M"))</f>
        <v>0</v>
      </c>
      <c r="F46" s="75" t="n">
        <f aca="false">SUMPRODUCT(--('My order'!$B30:$B230="Underwear"),--('My order'!$C30:$C230="Man"),--('My order'!$D30:$D230="L"))</f>
        <v>0</v>
      </c>
      <c r="G46" s="75" t="n">
        <f aca="false">SUMPRODUCT(--('My order'!$B30:$B230="Underwear"),--('My order'!$C30:$C230="Man"),--('My order'!$D30:$D230="XL"))</f>
        <v>0</v>
      </c>
      <c r="H46" s="75" t="n">
        <f aca="false">SUMPRODUCT(--('My order'!$B30:$B230="Underwear"),--('My order'!$C30:$C230="Man"),--('My order'!$D30:$D230="XXL"))</f>
        <v>0</v>
      </c>
      <c r="I46" s="77"/>
      <c r="J46" s="76"/>
      <c r="K46" s="22" t="s">
        <v>82</v>
      </c>
      <c r="L46" s="91" t="n">
        <f aca="false">SUMPRODUCT(--('My order'!$B30:$B230="Underwear"),--('My order'!$C30:$C230="Woman"),--('My order'!$D30:$D230="XS"))</f>
        <v>0</v>
      </c>
      <c r="M46" s="75" t="n">
        <f aca="false">SUMPRODUCT(--('My order'!$B30:$B230="Underwear"),--('My order'!$C30:$C230="Woman"),--('My order'!$D30:$D230="S"))</f>
        <v>0</v>
      </c>
      <c r="N46" s="75" t="n">
        <f aca="false">SUMPRODUCT(--('My order'!$B30:$B230="Underwear"),--('My order'!$C30:$C230="Woman"),--('My order'!$D30:$D230="M"))</f>
        <v>0</v>
      </c>
      <c r="O46" s="75" t="n">
        <f aca="false">SUMPRODUCT(--('My order'!$B30:$B230="Underwear"),--('My order'!$C30:$C230="Woman"),--('My order'!$D30:$D230="L"))</f>
        <v>0</v>
      </c>
      <c r="P46" s="75" t="n">
        <f aca="false">SUMPRODUCT(--('My order'!$B30:$B230="Underwear"),--('My order'!$C30:$C230="Woman"),--('My order'!$D30:$D230="XL"))</f>
        <v>0</v>
      </c>
      <c r="Q46" s="75" t="n">
        <f aca="false">SUMPRODUCT(--('My order'!$B30:$B230="Underwear"),--('My order'!$C30:$C230="Woman"),--('My order'!$D30:$D230="XXL"))</f>
        <v>0</v>
      </c>
      <c r="R46" s="58"/>
      <c r="S46" s="78" t="str">
        <f aca="false">IF('My order'!H2="English","Trucker Cap","Casquette Trucker")</f>
        <v>Trucker Cap</v>
      </c>
      <c r="T46" s="75" t="n">
        <f aca="false">SUMPRODUCT(--('My order'!$B30:$B230="Cap"),--('My order'!$C30:$C230="Trucker"))</f>
        <v>0</v>
      </c>
      <c r="U46" s="75"/>
      <c r="V46" s="58"/>
      <c r="W46" s="78" t="str">
        <f aca="false">IF('My order'!H2="English","Grass flag foot - spike","Pied pour herbe")</f>
        <v>Grass flag foot - spike</v>
      </c>
      <c r="X46" s="75" t="n">
        <f aca="false">SUMPRODUCT(--('My order'!$B30:$B230="Foot"),--('My order'!$C30:$C230="Grass_Spike"))</f>
        <v>0</v>
      </c>
      <c r="Y46" s="58"/>
      <c r="Z46" s="59"/>
      <c r="AA46" s="59"/>
      <c r="AB46" s="59"/>
      <c r="AC46" s="59"/>
      <c r="AD46" s="59"/>
      <c r="AE46" s="59"/>
      <c r="AF46" s="59"/>
      <c r="AG46" s="59"/>
      <c r="AH46" s="59"/>
      <c r="AI46" s="59"/>
      <c r="AJ46" s="59"/>
      <c r="AK46" s="59"/>
      <c r="AL46" s="59"/>
      <c r="AM46" s="59"/>
      <c r="AN46" s="59"/>
      <c r="AO46" s="59"/>
      <c r="AP46" s="59"/>
    </row>
    <row r="47" customFormat="false" ht="12.75" hidden="false" customHeight="true" outlineLevel="0" collapsed="false">
      <c r="A47" s="58"/>
      <c r="B47" s="28" t="str">
        <f aca="false">IF('My order'!H2="English","Quantity by size","Quantité par taille")</f>
        <v>Quantity by size</v>
      </c>
      <c r="C47" s="83" t="n">
        <f aca="false">SUM(C42:C46)</f>
        <v>0</v>
      </c>
      <c r="D47" s="83" t="n">
        <f aca="false">SUM(D42:D46)</f>
        <v>0</v>
      </c>
      <c r="E47" s="83" t="n">
        <f aca="false">SUM(E42:E46)</f>
        <v>0</v>
      </c>
      <c r="F47" s="83" t="n">
        <f aca="false">SUM(F42:F46)</f>
        <v>0</v>
      </c>
      <c r="G47" s="83" t="n">
        <f aca="false">SUM(G42:G46)</f>
        <v>0</v>
      </c>
      <c r="H47" s="83" t="n">
        <f aca="false">SUM(H42:H46)</f>
        <v>0</v>
      </c>
      <c r="I47" s="83" t="n">
        <f aca="false">SUM(I42:I46)</f>
        <v>0</v>
      </c>
      <c r="J47" s="84"/>
      <c r="K47" s="28" t="str">
        <f aca="false">IF('My order'!H2="English","Quantity by size","Quantité par taille")</f>
        <v>Quantity by size</v>
      </c>
      <c r="L47" s="83" t="n">
        <f aca="false">SUM(L42:L46)</f>
        <v>0</v>
      </c>
      <c r="M47" s="83" t="n">
        <f aca="false">SUM(M42:M46)</f>
        <v>0</v>
      </c>
      <c r="N47" s="83" t="n">
        <f aca="false">SUM(N42:N46)</f>
        <v>0</v>
      </c>
      <c r="O47" s="83" t="n">
        <f aca="false">SUM(O42:O46)</f>
        <v>0</v>
      </c>
      <c r="P47" s="83" t="n">
        <f aca="false">SUM(P42:P46)</f>
        <v>0</v>
      </c>
      <c r="Q47" s="83" t="n">
        <f aca="false">SUM(Q42:Q46)</f>
        <v>0</v>
      </c>
      <c r="R47" s="58"/>
      <c r="S47" s="92" t="str">
        <f aca="false">IF('My order'!H2="English","Total Caps","Total Casquettes")</f>
        <v>Total Caps</v>
      </c>
      <c r="T47" s="69" t="n">
        <f aca="false">SUM(T45:U46)</f>
        <v>0</v>
      </c>
      <c r="U47" s="69"/>
      <c r="V47" s="58"/>
      <c r="W47" s="78" t="str">
        <f aca="false">IF('My order'!H2="English","Sand flag foot - screw","Pied pour sable - vis")</f>
        <v>Sand flag foot - screw</v>
      </c>
      <c r="X47" s="75" t="n">
        <f aca="false">SUMPRODUCT(--('My order'!$B30:$B230="Foot"),--('My order'!$C30:$C230="Sand_Screw"))</f>
        <v>0</v>
      </c>
      <c r="Y47" s="58"/>
      <c r="Z47" s="59"/>
      <c r="AA47" s="59"/>
      <c r="AB47" s="59"/>
      <c r="AC47" s="59"/>
      <c r="AD47" s="59"/>
      <c r="AE47" s="59"/>
      <c r="AF47" s="59"/>
      <c r="AG47" s="59"/>
      <c r="AH47" s="59"/>
      <c r="AI47" s="59"/>
      <c r="AJ47" s="59"/>
      <c r="AK47" s="59"/>
      <c r="AL47" s="59"/>
      <c r="AM47" s="59"/>
      <c r="AN47" s="59"/>
      <c r="AO47" s="59"/>
      <c r="AP47" s="59"/>
    </row>
    <row r="48" customFormat="false" ht="12.75" hidden="false" customHeight="true" outlineLevel="0" collapsed="false">
      <c r="A48" s="58"/>
      <c r="B48" s="85" t="str">
        <f aca="false">IF('My order'!H2="English","Total Men","Total Homme")</f>
        <v>Total Men</v>
      </c>
      <c r="C48" s="69" t="n">
        <f aca="false">SUM(C47:I47)</f>
        <v>0</v>
      </c>
      <c r="D48" s="69"/>
      <c r="E48" s="69"/>
      <c r="F48" s="69"/>
      <c r="G48" s="69"/>
      <c r="H48" s="69"/>
      <c r="I48" s="69"/>
      <c r="J48" s="70"/>
      <c r="K48" s="86" t="str">
        <f aca="false">IF('My order'!H2="English","Total Women","Total Femme")</f>
        <v>Total Women</v>
      </c>
      <c r="L48" s="69" t="n">
        <f aca="false">SUM(L47:Q47)</f>
        <v>0</v>
      </c>
      <c r="M48" s="69"/>
      <c r="N48" s="69"/>
      <c r="O48" s="69"/>
      <c r="P48" s="69"/>
      <c r="Q48" s="69"/>
      <c r="R48" s="58"/>
      <c r="S48" s="78" t="str">
        <f aca="false">IF('My order'!H2="English","Gloves Men","Gants Homme")</f>
        <v>Gloves Men</v>
      </c>
      <c r="T48" s="75" t="n">
        <f aca="false">SUMPRODUCT(--('My order'!$B30:$B230="Gloves"),--('My order'!$C30:$C230="Man"))</f>
        <v>0</v>
      </c>
      <c r="U48" s="75"/>
      <c r="V48" s="58"/>
      <c r="W48" s="78" t="s">
        <v>83</v>
      </c>
      <c r="X48" s="75" t="n">
        <f aca="false">SUMPRODUCT(--('My order'!$B30:$B230="Fanion"),--('My order'!$C30:$C230="Sublimated"))</f>
        <v>0</v>
      </c>
      <c r="Y48" s="93"/>
      <c r="Z48" s="59"/>
      <c r="AA48" s="59"/>
      <c r="AB48" s="59"/>
      <c r="AC48" s="59"/>
      <c r="AD48" s="59"/>
      <c r="AE48" s="59"/>
      <c r="AF48" s="59"/>
      <c r="AG48" s="59"/>
      <c r="AH48" s="59"/>
      <c r="AI48" s="59"/>
      <c r="AJ48" s="59"/>
      <c r="AK48" s="59"/>
      <c r="AL48" s="59"/>
      <c r="AM48" s="59"/>
      <c r="AN48" s="59"/>
      <c r="AO48" s="59"/>
      <c r="AP48" s="59"/>
    </row>
    <row r="49" customFormat="false" ht="12.75" hidden="false" customHeight="true" outlineLevel="0" collapsed="false">
      <c r="A49" s="58"/>
      <c r="B49" s="58"/>
      <c r="C49" s="58"/>
      <c r="D49" s="58"/>
      <c r="E49" s="58"/>
      <c r="F49" s="58"/>
      <c r="G49" s="58"/>
      <c r="H49" s="58"/>
      <c r="I49" s="58"/>
      <c r="J49" s="58"/>
      <c r="K49" s="58"/>
      <c r="L49" s="58"/>
      <c r="M49" s="58"/>
      <c r="N49" s="58"/>
      <c r="O49" s="58"/>
      <c r="P49" s="58"/>
      <c r="Q49" s="58"/>
      <c r="R49" s="58"/>
      <c r="S49" s="78" t="str">
        <f aca="false">IF('My order'!H2="English","Gloves Women","Gants Femme")</f>
        <v>Gloves Women</v>
      </c>
      <c r="T49" s="75" t="n">
        <f aca="false">SUMPRODUCT(--('My order'!$B30:$B230="Gloves"),--('My order'!$C30:$C230="Woman"))</f>
        <v>0</v>
      </c>
      <c r="U49" s="75"/>
      <c r="W49" s="78" t="str">
        <f aca="false">IF('My order'!H2="English","Garland","Guirlande")</f>
        <v>Garland</v>
      </c>
      <c r="X49" s="82" t="n">
        <f aca="false">SUMPRODUCT(--('My order'!$B30:$B230="Garland"),--('My order'!$C30:$C230="Sublimated"))</f>
        <v>0</v>
      </c>
      <c r="Y49" s="58"/>
      <c r="Z49" s="59"/>
      <c r="AA49" s="59"/>
      <c r="AB49" s="59"/>
      <c r="AC49" s="59"/>
      <c r="AD49" s="59"/>
      <c r="AE49" s="59"/>
      <c r="AF49" s="59"/>
      <c r="AG49" s="59"/>
      <c r="AH49" s="59"/>
      <c r="AI49" s="59"/>
      <c r="AJ49" s="59"/>
      <c r="AK49" s="59"/>
      <c r="AL49" s="59"/>
      <c r="AM49" s="59"/>
      <c r="AN49" s="59"/>
      <c r="AO49" s="59"/>
      <c r="AP49" s="59"/>
    </row>
    <row r="50" customFormat="false" ht="12.75" hidden="false" customHeight="true" outlineLevel="0" collapsed="false">
      <c r="A50" s="58"/>
      <c r="B50" s="70"/>
      <c r="C50" s="70"/>
      <c r="D50" s="70"/>
      <c r="E50" s="70"/>
      <c r="F50" s="70"/>
      <c r="G50" s="70"/>
      <c r="H50" s="70"/>
      <c r="I50" s="58"/>
      <c r="J50" s="58"/>
      <c r="K50" s="58"/>
      <c r="L50" s="58"/>
      <c r="M50" s="58"/>
      <c r="N50" s="58"/>
      <c r="O50" s="58"/>
      <c r="P50" s="58"/>
      <c r="Q50" s="58"/>
      <c r="R50" s="58"/>
      <c r="S50" s="92" t="str">
        <f aca="false">IF('My order'!H2="English","Total Gloves","Total Gants")</f>
        <v>Total Gloves</v>
      </c>
      <c r="T50" s="69" t="n">
        <f aca="false">SUM(T48:U49)</f>
        <v>0</v>
      </c>
      <c r="U50" s="69"/>
      <c r="V50" s="58"/>
      <c r="W50" s="92" t="str">
        <f aca="false">IF('My order'!H2="English","Total flags","Total drapeaux")</f>
        <v>Total flags</v>
      </c>
      <c r="X50" s="69" t="n">
        <f aca="false">SUM(X41:X49)</f>
        <v>0</v>
      </c>
      <c r="Y50" s="58"/>
      <c r="Z50" s="59"/>
      <c r="AA50" s="59"/>
      <c r="AB50" s="59"/>
      <c r="AC50" s="59"/>
      <c r="AD50" s="59"/>
      <c r="AE50" s="59"/>
      <c r="AF50" s="59"/>
      <c r="AG50" s="59"/>
      <c r="AH50" s="59"/>
      <c r="AI50" s="59"/>
      <c r="AJ50" s="59"/>
      <c r="AK50" s="59"/>
      <c r="AL50" s="59"/>
      <c r="AM50" s="59"/>
      <c r="AN50" s="59"/>
      <c r="AO50" s="59"/>
      <c r="AP50" s="59"/>
    </row>
    <row r="51" customFormat="false" ht="12.75" hidden="false" customHeight="true" outlineLevel="0" collapsed="false">
      <c r="A51" s="58"/>
      <c r="B51" s="94" t="s">
        <v>84</v>
      </c>
      <c r="C51" s="94"/>
      <c r="D51" s="94"/>
      <c r="E51" s="94"/>
      <c r="F51" s="94"/>
      <c r="G51" s="94"/>
      <c r="H51" s="94"/>
      <c r="I51" s="94"/>
      <c r="J51" s="94"/>
      <c r="K51" s="94"/>
      <c r="L51" s="58"/>
      <c r="M51" s="58"/>
      <c r="N51" s="58"/>
      <c r="O51" s="58"/>
      <c r="P51" s="58"/>
      <c r="Q51" s="58"/>
      <c r="R51" s="58"/>
      <c r="S51" s="95" t="s">
        <v>85</v>
      </c>
      <c r="T51" s="14" t="n">
        <f aca="false">SUMPRODUCT(--('My order'!$B30:$B230="Handwarmer"),--('My order'!$C30:$C230="Sublimated"))</f>
        <v>0</v>
      </c>
      <c r="U51" s="14"/>
      <c r="V51" s="58"/>
      <c r="W51" s="58"/>
      <c r="X51" s="58"/>
      <c r="Y51" s="58"/>
      <c r="Z51" s="59"/>
      <c r="AA51" s="59"/>
      <c r="AB51" s="59"/>
      <c r="AC51" s="59"/>
      <c r="AD51" s="59"/>
      <c r="AE51" s="59"/>
      <c r="AF51" s="59"/>
      <c r="AG51" s="59"/>
      <c r="AH51" s="59"/>
      <c r="AI51" s="59"/>
      <c r="AJ51" s="59"/>
      <c r="AK51" s="59"/>
      <c r="AL51" s="59"/>
      <c r="AM51" s="59"/>
      <c r="AN51" s="59"/>
      <c r="AO51" s="59"/>
      <c r="AP51" s="59"/>
    </row>
    <row r="52" customFormat="false" ht="12.75" hidden="false" customHeight="true" outlineLevel="0" collapsed="false">
      <c r="A52" s="58"/>
      <c r="B52" s="89" t="str">
        <f aca="false">IF('My order'!H2="English","Product","Produit")</f>
        <v>Product</v>
      </c>
      <c r="C52" s="96" t="str">
        <f aca="false">IF('My order'!H2="English","Quantity","Quantité")</f>
        <v>Quantity</v>
      </c>
      <c r="D52" s="96"/>
      <c r="E52" s="96"/>
      <c r="F52" s="96"/>
      <c r="G52" s="96"/>
      <c r="H52" s="96"/>
      <c r="I52" s="96"/>
      <c r="J52" s="96"/>
      <c r="K52" s="96"/>
      <c r="L52" s="58"/>
      <c r="M52" s="58"/>
      <c r="N52" s="58"/>
      <c r="O52" s="58"/>
      <c r="P52" s="58"/>
      <c r="Q52" s="58"/>
      <c r="R52" s="58"/>
      <c r="S52" s="78" t="str">
        <f aca="false">IF('My order'!H2="English","Headband","Bandeau")</f>
        <v>Headband</v>
      </c>
      <c r="T52" s="75" t="n">
        <f aca="false">SUMPRODUCT(--('My order'!$B30:$B230="Headband"),--('My order'!$C30:$C230="Sublimated"))</f>
        <v>0</v>
      </c>
      <c r="U52" s="75"/>
      <c r="V52" s="58"/>
      <c r="W52" s="58"/>
      <c r="X52" s="58"/>
      <c r="Y52" s="58"/>
      <c r="Z52" s="59"/>
      <c r="AA52" s="59"/>
      <c r="AB52" s="59"/>
      <c r="AC52" s="59"/>
      <c r="AD52" s="59"/>
      <c r="AE52" s="59"/>
      <c r="AF52" s="59"/>
      <c r="AG52" s="59"/>
      <c r="AH52" s="59"/>
      <c r="AI52" s="59"/>
      <c r="AJ52" s="59"/>
      <c r="AK52" s="59"/>
      <c r="AL52" s="59"/>
      <c r="AM52" s="59"/>
      <c r="AN52" s="59"/>
      <c r="AO52" s="59"/>
      <c r="AP52" s="59"/>
    </row>
    <row r="53" customFormat="false" ht="12.75" hidden="false" customHeight="true" outlineLevel="0" collapsed="false">
      <c r="A53" s="58"/>
      <c r="B53" s="89"/>
      <c r="C53" s="90" t="str">
        <f aca="false">IF('My order'!H2="English","6 yo","6 ans")</f>
        <v>6 yo</v>
      </c>
      <c r="D53" s="90" t="str">
        <f aca="false">IF('My order'!H2="English","8 yo","8 ans")</f>
        <v>8 yo</v>
      </c>
      <c r="E53" s="90" t="s">
        <v>51</v>
      </c>
      <c r="F53" s="90" t="s">
        <v>27</v>
      </c>
      <c r="G53" s="90" t="s">
        <v>33</v>
      </c>
      <c r="H53" s="90" t="s">
        <v>40</v>
      </c>
      <c r="I53" s="90" t="s">
        <v>44</v>
      </c>
      <c r="J53" s="90" t="s">
        <v>52</v>
      </c>
      <c r="K53" s="90" t="s">
        <v>53</v>
      </c>
      <c r="L53" s="58"/>
      <c r="M53" s="58"/>
      <c r="N53" s="58"/>
      <c r="O53" s="58"/>
      <c r="P53" s="58"/>
      <c r="Q53" s="58"/>
      <c r="R53" s="58"/>
      <c r="S53" s="78" t="str">
        <f aca="false">IF('My order'!H2="English","Wristband","Bracelet")</f>
        <v>Wristband</v>
      </c>
      <c r="T53" s="75" t="n">
        <f aca="false">SUMPRODUCT(--('My order'!$B30:$B230="Wristband"),--('My order'!$C30:$C230="Sublimated"))</f>
        <v>0</v>
      </c>
      <c r="U53" s="75"/>
      <c r="V53" s="58"/>
      <c r="W53" s="58"/>
      <c r="X53" s="58"/>
      <c r="Y53" s="58"/>
      <c r="Z53" s="59"/>
      <c r="AA53" s="59"/>
      <c r="AB53" s="59"/>
      <c r="AC53" s="59"/>
      <c r="AD53" s="59"/>
      <c r="AE53" s="59"/>
      <c r="AF53" s="59"/>
      <c r="AG53" s="59"/>
      <c r="AH53" s="59"/>
      <c r="AI53" s="59"/>
      <c r="AJ53" s="59"/>
      <c r="AK53" s="59"/>
      <c r="AL53" s="59"/>
      <c r="AM53" s="59"/>
      <c r="AN53" s="59"/>
      <c r="AO53" s="59"/>
      <c r="AP53" s="59"/>
    </row>
    <row r="54" customFormat="false" ht="12.75" hidden="false" customHeight="true" outlineLevel="0" collapsed="false">
      <c r="A54" s="58"/>
      <c r="B54" s="78" t="s">
        <v>86</v>
      </c>
      <c r="C54" s="75" t="n">
        <f aca="false">SUMPRODUCT(--('My order'!$B30:$B230="Short"),--('My order'!$C30:$C230="Long"),--('My order'!$D30:$D230=6))</f>
        <v>0</v>
      </c>
      <c r="D54" s="75" t="n">
        <f aca="false">SUMPRODUCT(--('My order'!$B30:$B230="Short"),--('My order'!$C30:$C230="Long"),--('My order'!$D30:$D230=8))</f>
        <v>0</v>
      </c>
      <c r="E54" s="75" t="n">
        <f aca="false">SUMPRODUCT(--('My order'!$B30:$B230="Short"),--('My order'!$C30:$C230="Long"),--('My order'!$D30:$D230="XS"))</f>
        <v>0</v>
      </c>
      <c r="F54" s="75" t="n">
        <f aca="false">SUMPRODUCT(--('My order'!$B30:$B230="Short"),--('My order'!$C30:$C230="Long"),--('My order'!$D30:$D230="S"))</f>
        <v>0</v>
      </c>
      <c r="G54" s="75" t="n">
        <f aca="false">SUMPRODUCT(--('My order'!$B30:$B230="Short"),--('My order'!$C30:$C230="Long"),--('My order'!$D30:$D230="M"))</f>
        <v>0</v>
      </c>
      <c r="H54" s="75" t="n">
        <f aca="false">SUMPRODUCT(--('My order'!$B30:$B230="Short"),--('My order'!$C30:$C230="Long"),--('My order'!$D30:$D230="L"))</f>
        <v>1</v>
      </c>
      <c r="I54" s="83" t="n">
        <f aca="false">SUMPRODUCT(--('My order'!$B30:$B230="Short"),--('My order'!$C30:$C230="Long"),--('My order'!$D30:$D230="XL"))</f>
        <v>0</v>
      </c>
      <c r="J54" s="83" t="n">
        <f aca="false">SUMPRODUCT(--('My order'!$B30:$B230="Short"),--('My order'!$C30:$C230="Long"),--('My order'!$D30:$D230="XXL"))</f>
        <v>0</v>
      </c>
      <c r="K54" s="97" t="n">
        <f aca="false">SUMPRODUCT(--('My order'!$B30:$B230="Short"),--('My order'!$C30:$C230="Long"),--('My order'!$D30:$D230="XXXL"))</f>
        <v>0</v>
      </c>
      <c r="L54" s="58"/>
      <c r="M54" s="58"/>
      <c r="N54" s="58"/>
      <c r="O54" s="58"/>
      <c r="P54" s="58"/>
      <c r="Q54" s="58"/>
      <c r="R54" s="58"/>
      <c r="S54" s="78" t="str">
        <f aca="false">IF('My order'!H2="English","Snood","Cache-cou")</f>
        <v>Snood</v>
      </c>
      <c r="T54" s="75" t="n">
        <f aca="false">SUMPRODUCT(--('My order'!$B30:$B230="Snood"),--('My order'!$C30:$C230="Sublimated"))</f>
        <v>0</v>
      </c>
      <c r="U54" s="75"/>
      <c r="V54" s="58"/>
      <c r="W54" s="58"/>
      <c r="X54" s="58"/>
      <c r="Y54" s="58"/>
      <c r="Z54" s="59"/>
      <c r="AA54" s="59"/>
      <c r="AB54" s="59"/>
      <c r="AC54" s="59"/>
      <c r="AD54" s="59"/>
      <c r="AE54" s="59"/>
      <c r="AF54" s="59"/>
      <c r="AG54" s="59"/>
      <c r="AH54" s="59"/>
      <c r="AI54" s="59"/>
      <c r="AJ54" s="59"/>
      <c r="AK54" s="59"/>
      <c r="AL54" s="59"/>
      <c r="AM54" s="59"/>
      <c r="AN54" s="59"/>
      <c r="AO54" s="59"/>
      <c r="AP54" s="59"/>
    </row>
    <row r="55" customFormat="false" ht="12.75" hidden="false" customHeight="true" outlineLevel="0" collapsed="false">
      <c r="A55" s="58"/>
      <c r="B55" s="78" t="s">
        <v>87</v>
      </c>
      <c r="C55" s="82" t="n">
        <f aca="false">SUMPRODUCT(--('My order'!$B30:$B230="Short"),--('My order'!$C30:$C230="Multisport"),--('My order'!$D30:$D230=6))</f>
        <v>0</v>
      </c>
      <c r="D55" s="82" t="n">
        <f aca="false">SUMPRODUCT(--('My order'!$B30:$B230="Short"),--('My order'!$C30:$C230="Multisport"),--('My order'!$D30:$D230=8))</f>
        <v>0</v>
      </c>
      <c r="E55" s="82" t="n">
        <f aca="false">SUMPRODUCT(--('My order'!$B30:$B230="Short"),--('My order'!$C30:$C230="Multisport"),--('My order'!$D30:$D230="XS"))</f>
        <v>0</v>
      </c>
      <c r="F55" s="82" t="n">
        <f aca="false">SUMPRODUCT(--('My order'!$B30:$B230="Short"),--('My order'!$C30:$C230="Multisport"),--('My order'!$D30:$D230="S"))</f>
        <v>1</v>
      </c>
      <c r="G55" s="82" t="n">
        <f aca="false">SUMPRODUCT(--('My order'!$B30:$B230="Short"),--('My order'!$C30:$C230="Multisport"),--('My order'!$D30:$D230="M"))</f>
        <v>1</v>
      </c>
      <c r="H55" s="82" t="n">
        <f aca="false">SUMPRODUCT(--('My order'!$B30:$B230="Short"),--('My order'!$C30:$C230="Multisport"),--('My order'!$D30:$D230="L"))</f>
        <v>1</v>
      </c>
      <c r="I55" s="30" t="n">
        <f aca="false">SUMPRODUCT(--('My order'!$B30:$B230="Short"),--('My order'!$C30:$C230="Multisport"),--('My order'!$D30:$D230="XL"))</f>
        <v>1</v>
      </c>
      <c r="J55" s="30" t="n">
        <f aca="false">SUMPRODUCT(--('My order'!$B30:$B230="Short"),--('My order'!$C30:$C230="Multisport"),--('My order'!$D30:$D230="XXL"))</f>
        <v>0</v>
      </c>
      <c r="K55" s="98" t="n">
        <f aca="false">SUMPRODUCT(--('My order'!$B30:$B230="Short"),--('My order'!$C30:$C230="Multisport"),--('My order'!$D30:$D230="XXXL"))</f>
        <v>0</v>
      </c>
      <c r="L55" s="58"/>
      <c r="M55" s="58"/>
      <c r="N55" s="58"/>
      <c r="O55" s="58"/>
      <c r="P55" s="58"/>
      <c r="Q55" s="58"/>
      <c r="R55" s="58"/>
      <c r="S55" s="78" t="s">
        <v>88</v>
      </c>
      <c r="T55" s="75" t="n">
        <f aca="false">SUMPRODUCT(--('My order'!$B30:$B230="Thermal_Warmer"),--('My order'!$C30:$C230="Sublimated"))</f>
        <v>0</v>
      </c>
      <c r="U55" s="75"/>
      <c r="V55" s="58"/>
      <c r="W55" s="58"/>
      <c r="X55" s="58"/>
      <c r="Y55" s="58"/>
      <c r="Z55" s="59"/>
      <c r="AA55" s="59"/>
      <c r="AB55" s="59"/>
      <c r="AC55" s="59"/>
      <c r="AD55" s="59"/>
      <c r="AE55" s="59"/>
      <c r="AF55" s="59"/>
      <c r="AG55" s="59"/>
      <c r="AH55" s="59"/>
      <c r="AI55" s="59"/>
      <c r="AJ55" s="59"/>
      <c r="AK55" s="59"/>
      <c r="AL55" s="59"/>
      <c r="AM55" s="59"/>
      <c r="AN55" s="59"/>
      <c r="AO55" s="59"/>
      <c r="AP55" s="59"/>
    </row>
    <row r="56" customFormat="false" ht="12.75" hidden="false" customHeight="true" outlineLevel="0" collapsed="false">
      <c r="A56" s="58"/>
      <c r="B56" s="78" t="s">
        <v>89</v>
      </c>
      <c r="C56" s="77"/>
      <c r="D56" s="77"/>
      <c r="E56" s="77"/>
      <c r="F56" s="82" t="n">
        <f aca="false">SUMPRODUCT(--('My order'!$B30:$B230="Short"),--('My order'!$C30:$C230="Woman"),--('My order'!$D30:$D230="S"))</f>
        <v>0</v>
      </c>
      <c r="G56" s="82" t="n">
        <f aca="false">SUMPRODUCT(--('My order'!$B30:$B230="Short"),--('My order'!$C30:$C230="Woman"),--('My order'!$D30:$D230="M"))</f>
        <v>1</v>
      </c>
      <c r="H56" s="82" t="n">
        <f aca="false">SUMPRODUCT(--('My order'!$B30:$B230="Short"),--('My order'!$C30:$C230="Woman"),--('My order'!$D30:$D230="L"))</f>
        <v>0</v>
      </c>
      <c r="I56" s="30" t="n">
        <f aca="false">SUMPRODUCT(--('My order'!$B30:$B230="Short"),--('My order'!$C30:$C230="Woman"),--('My order'!$D30:$D230="XL"))</f>
        <v>0</v>
      </c>
      <c r="J56" s="30" t="n">
        <f aca="false">SUMPRODUCT(--('My order'!$B30:$B230="Short"),--('My order'!$C30:$C230="Woman"),--('My order'!$D30:$D230="XXL"))</f>
        <v>0</v>
      </c>
      <c r="K56" s="99"/>
      <c r="L56" s="58"/>
      <c r="M56" s="58"/>
      <c r="N56" s="58"/>
      <c r="O56" s="58"/>
      <c r="P56" s="58"/>
      <c r="Q56" s="58"/>
      <c r="R56" s="58"/>
      <c r="S56" s="78" t="s">
        <v>90</v>
      </c>
      <c r="T56" s="75" t="n">
        <f aca="false">SUMPRODUCT(--('My order'!$B30:$B230="Towel"),--('My order'!$C30:$C230="Sublimated"))</f>
        <v>0</v>
      </c>
      <c r="U56" s="75"/>
      <c r="V56" s="58"/>
      <c r="W56" s="58"/>
      <c r="X56" s="58"/>
      <c r="Y56" s="58"/>
      <c r="Z56" s="59"/>
      <c r="AA56" s="59"/>
      <c r="AB56" s="59"/>
      <c r="AC56" s="59"/>
      <c r="AD56" s="59"/>
      <c r="AE56" s="59"/>
      <c r="AF56" s="59"/>
      <c r="AG56" s="59"/>
      <c r="AH56" s="59"/>
      <c r="AI56" s="59"/>
      <c r="AJ56" s="59"/>
      <c r="AK56" s="59"/>
      <c r="AL56" s="59"/>
      <c r="AM56" s="59"/>
      <c r="AN56" s="59"/>
      <c r="AO56" s="59"/>
      <c r="AP56" s="59"/>
    </row>
    <row r="57" customFormat="false" ht="12.75" hidden="false" customHeight="true" outlineLevel="0" collapsed="false">
      <c r="A57" s="58"/>
      <c r="B57" s="95" t="s">
        <v>91</v>
      </c>
      <c r="C57" s="100"/>
      <c r="D57" s="101"/>
      <c r="E57" s="102"/>
      <c r="F57" s="82" t="n">
        <f aca="false">SUMPRODUCT(--('My order'!$B30:$B230="Short"),--('My order'!$C30:$C230="Beach_Woman"),--('My order'!$D30:$D230="S"))</f>
        <v>0</v>
      </c>
      <c r="G57" s="82" t="n">
        <f aca="false">SUMPRODUCT(--('My order'!$B30:$B230="Short"),--('My order'!$C30:$C230="Beach_Woman"),--('My order'!$D30:$D230="M"))</f>
        <v>0</v>
      </c>
      <c r="H57" s="82" t="n">
        <f aca="false">SUMPRODUCT(--('My order'!$B30:$B230="Short"),--('My order'!$C30:$C230="Beach_Woman"),--('My order'!$D30:$D230="L"))</f>
        <v>0</v>
      </c>
      <c r="I57" s="30" t="n">
        <f aca="false">SUMPRODUCT(--('My order'!$B30:$B230="Short"),--('My order'!$C30:$C230="Beach_Woman"),--('My order'!$D30:$D230="XL"))</f>
        <v>0</v>
      </c>
      <c r="J57" s="30" t="n">
        <f aca="false">SUMPRODUCT(--('My order'!$B30:$B230="Short"),--('My order'!$C30:$C230="Beach_Woman"),--('My order'!$D30:$D230="XXL"))</f>
        <v>0</v>
      </c>
      <c r="K57" s="99"/>
      <c r="L57" s="58"/>
      <c r="M57" s="58"/>
      <c r="N57" s="58"/>
      <c r="O57" s="58"/>
      <c r="P57" s="58"/>
      <c r="Q57" s="58"/>
      <c r="R57" s="58"/>
      <c r="S57" s="78" t="s">
        <v>92</v>
      </c>
      <c r="T57" s="75" t="n">
        <f aca="false">SUMPRODUCT(--('My order'!$B30:$B230="Kuxin"),--('My order'!$C30:$C230="Sublimated"))</f>
        <v>0</v>
      </c>
      <c r="U57" s="75"/>
      <c r="V57" s="58"/>
      <c r="W57" s="58"/>
      <c r="X57" s="58"/>
      <c r="Y57" s="58"/>
      <c r="Z57" s="59"/>
      <c r="AA57" s="59"/>
      <c r="AB57" s="59"/>
      <c r="AC57" s="59"/>
      <c r="AD57" s="59"/>
      <c r="AE57" s="59"/>
      <c r="AF57" s="59"/>
      <c r="AG57" s="59"/>
      <c r="AH57" s="59"/>
      <c r="AI57" s="59"/>
      <c r="AJ57" s="59"/>
      <c r="AK57" s="59"/>
      <c r="AL57" s="59"/>
      <c r="AM57" s="59"/>
      <c r="AN57" s="59"/>
      <c r="AO57" s="59"/>
      <c r="AP57" s="59"/>
    </row>
    <row r="58" customFormat="false" ht="12.75" hidden="false" customHeight="true" outlineLevel="0" collapsed="false">
      <c r="A58" s="58"/>
      <c r="B58" s="95" t="s">
        <v>93</v>
      </c>
      <c r="C58" s="100"/>
      <c r="D58" s="101"/>
      <c r="E58" s="102"/>
      <c r="F58" s="82" t="n">
        <f aca="false">SUMPRODUCT(--('My order'!$B30:$B230="Short"),--('My order'!$C30:$C230="Tight_Woman"),--('My order'!$D30:$D230="S"))</f>
        <v>0</v>
      </c>
      <c r="G58" s="82" t="n">
        <f aca="false">SUMPRODUCT(--('My order'!$B30:$B230="Short"),--('My order'!$C30:$C230="Tight_Woman"),--('My order'!$D30:$D230="M"))</f>
        <v>0</v>
      </c>
      <c r="H58" s="82" t="n">
        <f aca="false">SUMPRODUCT(--('My order'!$B30:$B230="Short"),--('My order'!$C30:$C230="Tight_Woman"),--('My order'!$D30:$D230="L"))</f>
        <v>0</v>
      </c>
      <c r="I58" s="30" t="n">
        <f aca="false">SUMPRODUCT(--('My order'!$B30:$B230="Short"),--('My order'!$C30:$C230="Tight_Woman"),--('My order'!$D30:$D230="XL"))</f>
        <v>0</v>
      </c>
      <c r="J58" s="30" t="n">
        <f aca="false">SUMPRODUCT(--('My order'!$B30:$B230="Short"),--('My order'!$C30:$C230="Tight_Woman"),--('My order'!$D30:$D230="XXL"))</f>
        <v>0</v>
      </c>
      <c r="K58" s="99"/>
      <c r="L58" s="58"/>
      <c r="M58" s="58"/>
      <c r="N58" s="58"/>
      <c r="O58" s="58"/>
      <c r="P58" s="58"/>
      <c r="Q58" s="58"/>
      <c r="R58" s="58"/>
      <c r="S58" s="78" t="str">
        <f aca="false">IF('My order'!H2="English","Drawstring bag","Sac à cordons")</f>
        <v>Drawstring bag</v>
      </c>
      <c r="T58" s="75" t="n">
        <f aca="false">SUMPRODUCT(--('My order'!$B30:$B230="Drawstring_Bag"),--('My order'!$C30:$C230="Sublimated"))</f>
        <v>0</v>
      </c>
      <c r="U58" s="75"/>
      <c r="V58" s="58"/>
      <c r="W58" s="58"/>
      <c r="X58" s="58"/>
      <c r="Y58" s="58"/>
      <c r="Z58" s="59"/>
      <c r="AA58" s="59"/>
      <c r="AB58" s="59"/>
      <c r="AC58" s="59"/>
      <c r="AD58" s="59"/>
      <c r="AE58" s="59"/>
      <c r="AF58" s="59"/>
      <c r="AG58" s="59"/>
      <c r="AH58" s="59"/>
      <c r="AI58" s="59"/>
      <c r="AJ58" s="59"/>
      <c r="AK58" s="59"/>
      <c r="AL58" s="59"/>
      <c r="AM58" s="59"/>
      <c r="AN58" s="59"/>
      <c r="AO58" s="59"/>
      <c r="AP58" s="59"/>
    </row>
    <row r="59" customFormat="false" ht="12.75" hidden="false" customHeight="true" outlineLevel="0" collapsed="false">
      <c r="A59" s="58"/>
      <c r="B59" s="95" t="s">
        <v>94</v>
      </c>
      <c r="C59" s="100"/>
      <c r="D59" s="101"/>
      <c r="E59" s="102"/>
      <c r="F59" s="82" t="n">
        <f aca="false">SUMPRODUCT(--('My order'!$B30:$B230="Skirt"),--('My order'!$C30:$C230="Woman"),--('My order'!$D30:$D230="S"))</f>
        <v>0</v>
      </c>
      <c r="G59" s="82" t="n">
        <f aca="false">SUMPRODUCT(--('My order'!$B30:$B230="Skirt"),--('My order'!$C30:$C230="Woman"),--('My order'!$D30:$D230="M"))</f>
        <v>0</v>
      </c>
      <c r="H59" s="82" t="n">
        <f aca="false">SUMPRODUCT(--('My order'!$B30:$B230="Skirt"),--('My order'!$C30:$C230="Woman"),--('My order'!$D30:$D230="L"))</f>
        <v>0</v>
      </c>
      <c r="I59" s="30" t="n">
        <f aca="false">SUMPRODUCT(--('My order'!$B30:$B230="Skirt"),--('My order'!$C30:$C230="Woman"),--('My order'!$D30:$D230="XL"))</f>
        <v>0</v>
      </c>
      <c r="J59" s="30" t="n">
        <f aca="false">SUMPRODUCT(--('My order'!$B30:$B230="Skirt"),--('My order'!$C30:$C230="Woman"),--('My order'!$D30:$D230="XXL"))</f>
        <v>0</v>
      </c>
      <c r="K59" s="99"/>
      <c r="L59" s="58"/>
      <c r="M59" s="58"/>
      <c r="N59" s="58"/>
      <c r="O59" s="58"/>
      <c r="P59" s="58"/>
      <c r="Q59" s="58"/>
      <c r="R59" s="58"/>
      <c r="S59" s="92" t="str">
        <f aca="false">IF('My order'!H2="English","Total items","Total objets")</f>
        <v>Total items</v>
      </c>
      <c r="T59" s="69" t="n">
        <f aca="false">SUM(T51:T58)</f>
        <v>0</v>
      </c>
      <c r="U59" s="69"/>
      <c r="V59" s="58"/>
      <c r="W59" s="58"/>
      <c r="X59" s="58"/>
      <c r="Y59" s="58"/>
      <c r="Z59" s="59"/>
      <c r="AA59" s="59"/>
      <c r="AB59" s="59"/>
      <c r="AC59" s="59"/>
      <c r="AD59" s="59"/>
      <c r="AE59" s="59"/>
      <c r="AF59" s="59"/>
      <c r="AG59" s="59"/>
      <c r="AH59" s="59"/>
      <c r="AI59" s="59"/>
      <c r="AJ59" s="59"/>
      <c r="AK59" s="59"/>
      <c r="AL59" s="59"/>
      <c r="AM59" s="59"/>
      <c r="AN59" s="59"/>
      <c r="AO59" s="59"/>
      <c r="AP59" s="59"/>
    </row>
    <row r="60" customFormat="false" ht="12.75" hidden="false" customHeight="true" outlineLevel="0" collapsed="false">
      <c r="A60" s="58"/>
      <c r="B60" s="92" t="s">
        <v>95</v>
      </c>
      <c r="C60" s="69" t="n">
        <f aca="false">SUM(C54:K59)</f>
        <v>6</v>
      </c>
      <c r="D60" s="69"/>
      <c r="E60" s="69"/>
      <c r="F60" s="69"/>
      <c r="G60" s="69"/>
      <c r="H60" s="69"/>
      <c r="I60" s="69"/>
      <c r="J60" s="69"/>
      <c r="K60" s="69"/>
      <c r="L60" s="58"/>
      <c r="M60" s="58"/>
      <c r="N60" s="58"/>
      <c r="O60" s="58"/>
      <c r="P60" s="58"/>
      <c r="Q60" s="58"/>
      <c r="R60" s="58"/>
      <c r="S60" s="103" t="str">
        <f aca="false">IF('My order'!H2="English","Total Accessories","Total Accessoires")</f>
        <v>Total Accessories</v>
      </c>
      <c r="T60" s="104" t="n">
        <f aca="false">SUM(T44+T47+T50+T59)</f>
        <v>0</v>
      </c>
      <c r="U60" s="104"/>
      <c r="V60" s="58"/>
      <c r="W60" s="58"/>
      <c r="X60" s="58"/>
      <c r="Y60" s="58"/>
      <c r="Z60" s="59"/>
      <c r="AA60" s="59"/>
      <c r="AB60" s="59"/>
      <c r="AC60" s="59"/>
      <c r="AD60" s="59"/>
      <c r="AE60" s="59"/>
      <c r="AF60" s="59"/>
      <c r="AG60" s="59"/>
      <c r="AH60" s="59"/>
      <c r="AI60" s="59"/>
      <c r="AJ60" s="59"/>
      <c r="AK60" s="59"/>
      <c r="AL60" s="59"/>
      <c r="AM60" s="59"/>
      <c r="AN60" s="59"/>
      <c r="AO60" s="59"/>
      <c r="AP60" s="59"/>
    </row>
    <row r="61" customFormat="false" ht="12.75" hidden="false" customHeight="true" outlineLevel="0" collapsed="false">
      <c r="B61" s="105"/>
      <c r="C61" s="70"/>
      <c r="D61" s="70"/>
      <c r="E61" s="70"/>
      <c r="F61" s="70"/>
      <c r="G61" s="70"/>
      <c r="H61" s="70"/>
      <c r="I61" s="70"/>
      <c r="J61" s="70"/>
      <c r="K61" s="58"/>
      <c r="L61" s="58"/>
      <c r="M61" s="58"/>
      <c r="N61" s="58"/>
      <c r="O61" s="58"/>
      <c r="P61" s="58"/>
      <c r="Q61" s="58"/>
      <c r="R61" s="58"/>
      <c r="S61" s="106"/>
      <c r="T61" s="106"/>
      <c r="U61" s="106"/>
      <c r="V61" s="58"/>
      <c r="W61" s="58"/>
      <c r="X61" s="58"/>
      <c r="Z61" s="59"/>
      <c r="AA61" s="59"/>
      <c r="AB61" s="59"/>
      <c r="AC61" s="59"/>
      <c r="AD61" s="59"/>
      <c r="AE61" s="59"/>
      <c r="AF61" s="59"/>
      <c r="AG61" s="59"/>
      <c r="AH61" s="59"/>
      <c r="AI61" s="59"/>
      <c r="AJ61" s="59"/>
      <c r="AK61" s="59"/>
      <c r="AL61" s="59"/>
      <c r="AM61" s="59"/>
      <c r="AN61" s="59"/>
      <c r="AO61" s="59"/>
      <c r="AP61" s="59"/>
    </row>
    <row r="62" customFormat="false" ht="12.75" hidden="false" customHeight="true" outlineLevel="0" collapsed="false">
      <c r="B62" s="58"/>
      <c r="C62" s="58"/>
      <c r="D62" s="58"/>
      <c r="E62" s="70"/>
      <c r="F62" s="70"/>
      <c r="G62" s="58"/>
      <c r="H62" s="58"/>
      <c r="I62" s="58"/>
      <c r="J62" s="58"/>
      <c r="K62" s="58"/>
      <c r="S62" s="106"/>
      <c r="T62" s="106"/>
      <c r="U62" s="106"/>
      <c r="W62" s="58"/>
      <c r="X62" s="58"/>
    </row>
    <row r="63" customFormat="false" ht="12.75" hidden="false" customHeight="true" outlineLevel="0" collapsed="false">
      <c r="B63" s="58"/>
      <c r="C63" s="58"/>
      <c r="D63" s="58"/>
      <c r="E63" s="70"/>
      <c r="F63" s="70"/>
      <c r="G63" s="58"/>
      <c r="H63" s="58"/>
      <c r="I63" s="58"/>
      <c r="J63" s="58"/>
      <c r="K63" s="58"/>
      <c r="S63" s="58"/>
      <c r="T63" s="58"/>
      <c r="U63" s="58"/>
    </row>
    <row r="64" customFormat="false" ht="12.75" hidden="false" customHeight="true" outlineLevel="0" collapsed="false">
      <c r="E64" s="1"/>
      <c r="F64" s="1"/>
      <c r="G64" s="1"/>
      <c r="H64" s="1"/>
      <c r="I64" s="1"/>
      <c r="J64" s="1"/>
      <c r="S64" s="58"/>
      <c r="T64" s="58"/>
      <c r="U64" s="58"/>
    </row>
    <row r="65" customFormat="false" ht="12.75" hidden="false" customHeight="true" outlineLevel="0" collapsed="false">
      <c r="E65" s="36"/>
      <c r="F65" s="36"/>
      <c r="G65" s="36"/>
      <c r="H65" s="36"/>
      <c r="I65" s="36"/>
      <c r="J65" s="36"/>
    </row>
  </sheetData>
  <mergeCells count="45">
    <mergeCell ref="B1:N4"/>
    <mergeCell ref="Z1:AP61"/>
    <mergeCell ref="B8:I8"/>
    <mergeCell ref="K8:Q8"/>
    <mergeCell ref="S8:V8"/>
    <mergeCell ref="B9:B10"/>
    <mergeCell ref="C9:I9"/>
    <mergeCell ref="K9:K10"/>
    <mergeCell ref="M9:Q9"/>
    <mergeCell ref="S9:S10"/>
    <mergeCell ref="T9:V9"/>
    <mergeCell ref="L30:Q30"/>
    <mergeCell ref="C37:I37"/>
    <mergeCell ref="L37:Q37"/>
    <mergeCell ref="T37:V37"/>
    <mergeCell ref="B39:I39"/>
    <mergeCell ref="K39:Q39"/>
    <mergeCell ref="B40:B41"/>
    <mergeCell ref="C40:I40"/>
    <mergeCell ref="K40:K41"/>
    <mergeCell ref="M40:Q40"/>
    <mergeCell ref="T44:U44"/>
    <mergeCell ref="T46:U46"/>
    <mergeCell ref="T47:U47"/>
    <mergeCell ref="C48:I48"/>
    <mergeCell ref="L48:Q48"/>
    <mergeCell ref="T48:U48"/>
    <mergeCell ref="T49:U49"/>
    <mergeCell ref="T50:U50"/>
    <mergeCell ref="B51:K51"/>
    <mergeCell ref="T51:U51"/>
    <mergeCell ref="B52:B53"/>
    <mergeCell ref="C52:K52"/>
    <mergeCell ref="T52:U52"/>
    <mergeCell ref="T53:U53"/>
    <mergeCell ref="T54:U54"/>
    <mergeCell ref="T55:U55"/>
    <mergeCell ref="C56:E56"/>
    <mergeCell ref="T56:U56"/>
    <mergeCell ref="T57:U57"/>
    <mergeCell ref="T58:U58"/>
    <mergeCell ref="T59:U59"/>
    <mergeCell ref="C60:K60"/>
    <mergeCell ref="T60:U60"/>
    <mergeCell ref="S61:U62"/>
  </mergeCells>
  <dataValidations count="4">
    <dataValidation allowBlank="false" operator="between" showDropDown="false" showErrorMessage="true" showInputMessage="false" sqref="B36 K36" type="none">
      <formula1>0</formula1>
      <formula2>0</formula2>
    </dataValidation>
    <dataValidation allowBlank="false" operator="between" prompt="Sélectionnez le type de produit" showDropDown="false" showErrorMessage="true" showInputMessage="true" sqref="A43" type="list">
      <formula1>#ref!</formula1>
      <formula2>0</formula2>
    </dataValidation>
    <dataValidation allowBlank="false" operator="between" showDropDown="false" showErrorMessage="true" showInputMessage="false" sqref="B47 K47" type="list">
      <formula1>INDIRECT(#ref!)</formula1>
      <formula2>0</formula2>
    </dataValidation>
    <dataValidation allowBlank="false" operator="between" showDropDown="false" showErrorMessage="true" showInputMessage="false" sqref="S36" type="list">
      <formula1>INDIRECT(#ref!)</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99"/>
    <pageSetUpPr fitToPage="false"/>
  </sheetPr>
  <dimension ref="A1:N240"/>
  <sheetViews>
    <sheetView showFormulas="false" showGridLines="true" showRowColHeaders="true" showZeros="true" rightToLeft="false" tabSelected="false" showOutlineSymbols="true" defaultGridColor="true" view="normal" topLeftCell="A4" colorId="64" zoomScale="84" zoomScaleNormal="84" zoomScalePageLayoutView="100" workbookViewId="0">
      <selection pane="topLeft" activeCell="A49" activeCellId="0" sqref="A49"/>
    </sheetView>
  </sheetViews>
  <sheetFormatPr defaultColWidth="11.12109375" defaultRowHeight="12.75" zeroHeight="false" outlineLevelRow="0" outlineLevelCol="0"/>
  <cols>
    <col collapsed="false" customWidth="true" hidden="false" outlineLevel="0" max="1" min="1" style="1" width="34.93"/>
    <col collapsed="false" customWidth="true" hidden="false" outlineLevel="0" max="2" min="2" style="1" width="13.4"/>
    <col collapsed="false" customWidth="true" hidden="false" outlineLevel="0" max="3" min="3" style="1" width="16.12"/>
    <col collapsed="false" customWidth="true" hidden="false" outlineLevel="0" max="4" min="4" style="1" width="15.68"/>
    <col collapsed="false" customWidth="true" hidden="false" outlineLevel="0" max="5" min="5" style="1" width="12.27"/>
  </cols>
  <sheetData>
    <row r="1" customFormat="false" ht="12.75" hidden="false" customHeight="true" outlineLevel="0" collapsed="false">
      <c r="A1" s="1" t="s">
        <v>96</v>
      </c>
      <c r="B1" s="1" t="s">
        <v>97</v>
      </c>
      <c r="C1" s="1" t="s">
        <v>98</v>
      </c>
      <c r="D1" s="1" t="s">
        <v>99</v>
      </c>
      <c r="E1" s="1" t="s">
        <v>100</v>
      </c>
    </row>
    <row r="2" customFormat="false" ht="16.5" hidden="false" customHeight="true" outlineLevel="0" collapsed="false">
      <c r="B2" s="36" t="s">
        <v>26</v>
      </c>
      <c r="C2" s="36" t="s">
        <v>43</v>
      </c>
      <c r="D2" s="36" t="s">
        <v>26</v>
      </c>
      <c r="E2" s="36" t="s">
        <v>26</v>
      </c>
      <c r="F2" s="36" t="s">
        <v>71</v>
      </c>
      <c r="L2" s="1" t="s">
        <v>101</v>
      </c>
      <c r="N2" s="4" t="s">
        <v>102</v>
      </c>
    </row>
    <row r="3" customFormat="false" ht="12.75" hidden="false" customHeight="true" outlineLevel="0" collapsed="false">
      <c r="A3" s="36" t="s">
        <v>103</v>
      </c>
      <c r="B3" s="36" t="s">
        <v>38</v>
      </c>
      <c r="C3" s="36" t="s">
        <v>32</v>
      </c>
      <c r="D3" s="36" t="s">
        <v>38</v>
      </c>
      <c r="E3" s="36" t="s">
        <v>38</v>
      </c>
      <c r="L3" s="1" t="s">
        <v>104</v>
      </c>
    </row>
    <row r="4" customFormat="false" ht="12.75" hidden="false" customHeight="true" outlineLevel="0" collapsed="false">
      <c r="A4" s="36" t="s">
        <v>54</v>
      </c>
      <c r="B4" s="36" t="s">
        <v>105</v>
      </c>
      <c r="C4" s="36" t="s">
        <v>38</v>
      </c>
      <c r="L4" s="1" t="s">
        <v>106</v>
      </c>
    </row>
    <row r="5" customFormat="false" ht="12.75" hidden="false" customHeight="true" outlineLevel="0" collapsed="false">
      <c r="A5" s="36" t="s">
        <v>49</v>
      </c>
      <c r="B5" s="36"/>
      <c r="C5" s="36" t="s">
        <v>107</v>
      </c>
      <c r="L5" s="1" t="s">
        <v>108</v>
      </c>
    </row>
    <row r="6" customFormat="false" ht="12.75" hidden="false" customHeight="true" outlineLevel="0" collapsed="false">
      <c r="A6" s="36" t="s">
        <v>55</v>
      </c>
      <c r="B6" s="36"/>
      <c r="C6" s="36" t="s">
        <v>109</v>
      </c>
      <c r="L6" s="1" t="s">
        <v>110</v>
      </c>
    </row>
    <row r="7" customFormat="false" ht="12.75" hidden="false" customHeight="true" outlineLevel="0" collapsed="false">
      <c r="A7" s="36" t="s">
        <v>111</v>
      </c>
      <c r="B7" s="36"/>
      <c r="L7" s="1" t="s">
        <v>112</v>
      </c>
    </row>
    <row r="8" customFormat="false" ht="12.75" hidden="false" customHeight="true" outlineLevel="0" collapsed="false">
      <c r="A8" s="36" t="s">
        <v>113</v>
      </c>
      <c r="B8" s="36"/>
      <c r="C8" s="36"/>
      <c r="L8" s="1" t="s">
        <v>114</v>
      </c>
    </row>
    <row r="9" customFormat="false" ht="12.75" hidden="false" customHeight="true" outlineLevel="0" collapsed="false">
      <c r="A9" s="36" t="s">
        <v>115</v>
      </c>
      <c r="B9" s="36"/>
      <c r="C9" s="36"/>
      <c r="L9" s="1" t="s">
        <v>116</v>
      </c>
    </row>
    <row r="10" customFormat="false" ht="12.75" hidden="false" customHeight="true" outlineLevel="0" collapsed="false">
      <c r="A10" s="36" t="s">
        <v>117</v>
      </c>
      <c r="B10" s="36"/>
      <c r="C10" s="36"/>
      <c r="D10" s="36"/>
      <c r="L10" s="1" t="s">
        <v>118</v>
      </c>
    </row>
    <row r="11" customFormat="false" ht="12.75" hidden="false" customHeight="true" outlineLevel="0" collapsed="false">
      <c r="A11" s="36" t="s">
        <v>119</v>
      </c>
      <c r="B11" s="36"/>
      <c r="C11" s="36"/>
      <c r="D11" s="36"/>
      <c r="L11" s="1" t="s">
        <v>120</v>
      </c>
    </row>
    <row r="12" customFormat="false" ht="12.75" hidden="false" customHeight="true" outlineLevel="0" collapsed="false">
      <c r="A12" s="36" t="s">
        <v>61</v>
      </c>
      <c r="B12" s="40" t="s">
        <v>121</v>
      </c>
      <c r="C12" s="1" t="s">
        <v>122</v>
      </c>
      <c r="D12" s="1" t="s">
        <v>123</v>
      </c>
      <c r="L12" s="1" t="s">
        <v>124</v>
      </c>
    </row>
    <row r="13" customFormat="false" ht="12.75" hidden="false" customHeight="true" outlineLevel="0" collapsed="false">
      <c r="A13" s="36" t="s">
        <v>125</v>
      </c>
      <c r="B13" s="36" t="s">
        <v>126</v>
      </c>
      <c r="C13" s="36" t="s">
        <v>127</v>
      </c>
      <c r="D13" s="36" t="s">
        <v>127</v>
      </c>
      <c r="L13" s="1" t="s">
        <v>128</v>
      </c>
    </row>
    <row r="14" customFormat="false" ht="12.75" hidden="false" customHeight="true" outlineLevel="0" collapsed="false">
      <c r="A14" s="36" t="s">
        <v>63</v>
      </c>
      <c r="B14" s="36" t="s">
        <v>129</v>
      </c>
      <c r="C14" s="36"/>
      <c r="D14" s="36"/>
      <c r="E14" s="40"/>
      <c r="L14" s="1" t="s">
        <v>130</v>
      </c>
    </row>
    <row r="15" customFormat="false" ht="12.75" hidden="false" customHeight="true" outlineLevel="0" collapsed="false">
      <c r="A15" s="36" t="s">
        <v>64</v>
      </c>
      <c r="B15" s="36"/>
      <c r="C15" s="36"/>
      <c r="D15" s="36"/>
      <c r="L15" s="1" t="s">
        <v>131</v>
      </c>
    </row>
    <row r="16" customFormat="false" ht="12.75" hidden="false" customHeight="true" outlineLevel="0" collapsed="false">
      <c r="A16" s="36" t="s">
        <v>132</v>
      </c>
      <c r="B16" s="36"/>
      <c r="C16" s="36"/>
      <c r="D16" s="36"/>
      <c r="L16" s="1" t="s">
        <v>133</v>
      </c>
    </row>
    <row r="17" customFormat="false" ht="12.75" hidden="false" customHeight="true" outlineLevel="0" collapsed="false">
      <c r="A17" s="36" t="s">
        <v>66</v>
      </c>
      <c r="B17" s="36"/>
      <c r="C17" s="36"/>
      <c r="D17" s="36"/>
      <c r="F17" s="40"/>
      <c r="L17" s="1" t="s">
        <v>134</v>
      </c>
    </row>
    <row r="18" customFormat="false" ht="12.75" hidden="false" customHeight="true" outlineLevel="0" collapsed="false">
      <c r="A18" s="36" t="s">
        <v>67</v>
      </c>
      <c r="B18" s="40" t="s">
        <v>135</v>
      </c>
      <c r="C18" s="40" t="s">
        <v>136</v>
      </c>
      <c r="D18" s="40" t="s">
        <v>137</v>
      </c>
      <c r="E18" s="40" t="s">
        <v>138</v>
      </c>
      <c r="L18" s="1" t="s">
        <v>139</v>
      </c>
    </row>
    <row r="19" customFormat="false" ht="12.75" hidden="false" customHeight="true" outlineLevel="0" collapsed="false">
      <c r="A19" s="36" t="s">
        <v>37</v>
      </c>
      <c r="B19" s="36" t="n">
        <v>6</v>
      </c>
      <c r="C19" s="36" t="n">
        <v>6</v>
      </c>
      <c r="D19" s="36" t="s">
        <v>76</v>
      </c>
      <c r="E19" s="36" t="s">
        <v>140</v>
      </c>
      <c r="L19" s="1" t="s">
        <v>141</v>
      </c>
    </row>
    <row r="20" customFormat="false" ht="12.75" hidden="false" customHeight="true" outlineLevel="0" collapsed="false">
      <c r="A20" s="36" t="s">
        <v>68</v>
      </c>
      <c r="B20" s="36" t="n">
        <v>8</v>
      </c>
      <c r="C20" s="36" t="n">
        <v>8</v>
      </c>
      <c r="D20" s="36" t="s">
        <v>77</v>
      </c>
      <c r="E20" s="36"/>
      <c r="L20" s="1" t="s">
        <v>142</v>
      </c>
    </row>
    <row r="21" customFormat="false" ht="12.75" hidden="false" customHeight="true" outlineLevel="0" collapsed="false">
      <c r="A21" s="36" t="s">
        <v>25</v>
      </c>
      <c r="B21" s="36" t="n">
        <v>10</v>
      </c>
      <c r="C21" s="36" t="s">
        <v>51</v>
      </c>
      <c r="E21" s="36"/>
      <c r="L21" s="1" t="s">
        <v>143</v>
      </c>
    </row>
    <row r="22" customFormat="false" ht="12.75" hidden="false" customHeight="true" outlineLevel="0" collapsed="false">
      <c r="A22" s="36" t="s">
        <v>35</v>
      </c>
      <c r="B22" s="36" t="s">
        <v>51</v>
      </c>
      <c r="C22" s="36" t="s">
        <v>27</v>
      </c>
      <c r="L22" s="1" t="s">
        <v>144</v>
      </c>
    </row>
    <row r="23" customFormat="false" ht="12.75" hidden="false" customHeight="true" outlineLevel="0" collapsed="false">
      <c r="A23" s="36" t="s">
        <v>70</v>
      </c>
      <c r="B23" s="36" t="s">
        <v>27</v>
      </c>
      <c r="C23" s="36" t="s">
        <v>33</v>
      </c>
      <c r="L23" s="1" t="s">
        <v>145</v>
      </c>
    </row>
    <row r="24" customFormat="false" ht="12.75" hidden="false" customHeight="true" outlineLevel="0" collapsed="false">
      <c r="A24" s="36" t="s">
        <v>146</v>
      </c>
      <c r="B24" s="36" t="s">
        <v>33</v>
      </c>
      <c r="C24" s="36" t="s">
        <v>40</v>
      </c>
      <c r="L24" s="1" t="s">
        <v>147</v>
      </c>
    </row>
    <row r="25" customFormat="false" ht="12.75" hidden="false" customHeight="true" outlineLevel="0" collapsed="false">
      <c r="A25" s="36" t="s">
        <v>46</v>
      </c>
      <c r="B25" s="36" t="s">
        <v>40</v>
      </c>
      <c r="C25" s="36" t="s">
        <v>44</v>
      </c>
      <c r="L25" s="1" t="s">
        <v>148</v>
      </c>
    </row>
    <row r="26" customFormat="false" ht="12.75" hidden="false" customHeight="true" outlineLevel="0" collapsed="false">
      <c r="A26" s="36" t="s">
        <v>72</v>
      </c>
      <c r="B26" s="36" t="s">
        <v>44</v>
      </c>
      <c r="C26" s="36" t="s">
        <v>52</v>
      </c>
      <c r="L26" s="1" t="s">
        <v>149</v>
      </c>
    </row>
    <row r="27" customFormat="false" ht="12.75" hidden="false" customHeight="true" outlineLevel="0" collapsed="false">
      <c r="A27" s="36" t="s">
        <v>75</v>
      </c>
      <c r="B27" s="36" t="s">
        <v>52</v>
      </c>
      <c r="C27" s="36" t="s">
        <v>53</v>
      </c>
      <c r="L27" s="1" t="s">
        <v>150</v>
      </c>
    </row>
    <row r="28" customFormat="false" ht="12.75" hidden="false" customHeight="true" outlineLevel="0" collapsed="false">
      <c r="A28" s="36" t="s">
        <v>151</v>
      </c>
      <c r="B28" s="36" t="s">
        <v>53</v>
      </c>
      <c r="L28" s="1" t="s">
        <v>152</v>
      </c>
    </row>
    <row r="29" customFormat="false" ht="12.75" hidden="false" customHeight="true" outlineLevel="0" collapsed="false">
      <c r="A29" s="36" t="s">
        <v>31</v>
      </c>
      <c r="L29" s="40" t="s">
        <v>153</v>
      </c>
    </row>
    <row r="30" customFormat="false" ht="12.75" hidden="false" customHeight="true" outlineLevel="0" collapsed="false">
      <c r="A30" s="36" t="s">
        <v>154</v>
      </c>
      <c r="L30" s="40" t="s">
        <v>155</v>
      </c>
    </row>
    <row r="31" customFormat="false" ht="12.75" hidden="false" customHeight="true" outlineLevel="0" collapsed="false">
      <c r="A31" s="36" t="s">
        <v>79</v>
      </c>
      <c r="B31" s="1" t="s">
        <v>156</v>
      </c>
      <c r="C31" s="40" t="s">
        <v>157</v>
      </c>
      <c r="D31" s="40" t="s">
        <v>158</v>
      </c>
      <c r="L31" s="40" t="s">
        <v>159</v>
      </c>
    </row>
    <row r="32" customFormat="false" ht="12.75" hidden="false" customHeight="true" outlineLevel="0" collapsed="false">
      <c r="A32" s="36" t="s">
        <v>160</v>
      </c>
      <c r="B32" s="36" t="s">
        <v>161</v>
      </c>
      <c r="C32" s="36" t="s">
        <v>162</v>
      </c>
      <c r="D32" s="36" t="s">
        <v>163</v>
      </c>
      <c r="L32" s="40" t="s">
        <v>164</v>
      </c>
    </row>
    <row r="33" customFormat="false" ht="12.75" hidden="false" customHeight="true" outlineLevel="0" collapsed="false">
      <c r="A33" s="36" t="s">
        <v>81</v>
      </c>
      <c r="B33" s="36" t="s">
        <v>165</v>
      </c>
      <c r="C33" s="36" t="s">
        <v>166</v>
      </c>
      <c r="D33" s="36" t="s">
        <v>167</v>
      </c>
      <c r="L33" s="40" t="s">
        <v>168</v>
      </c>
    </row>
    <row r="34" customFormat="false" ht="12.75" hidden="false" customHeight="true" outlineLevel="0" collapsed="false">
      <c r="A34" s="36" t="s">
        <v>94</v>
      </c>
      <c r="B34" s="36"/>
      <c r="C34" s="36" t="s">
        <v>169</v>
      </c>
      <c r="D34" s="40"/>
      <c r="L34" s="40" t="s">
        <v>170</v>
      </c>
    </row>
    <row r="35" customFormat="false" ht="12.75" hidden="false" customHeight="true" outlineLevel="0" collapsed="false">
      <c r="A35" s="36" t="s">
        <v>82</v>
      </c>
      <c r="L35" s="40" t="s">
        <v>171</v>
      </c>
    </row>
    <row r="36" customFormat="false" ht="12.75" hidden="false" customHeight="true" outlineLevel="0" collapsed="false">
      <c r="A36" s="36" t="s">
        <v>172</v>
      </c>
      <c r="K36" s="36"/>
      <c r="L36" s="40" t="s">
        <v>173</v>
      </c>
    </row>
    <row r="37" customFormat="false" ht="12.75" hidden="false" customHeight="true" outlineLevel="0" collapsed="false">
      <c r="A37" s="36" t="s">
        <v>174</v>
      </c>
      <c r="K37" s="36"/>
      <c r="L37" s="40" t="s">
        <v>175</v>
      </c>
    </row>
    <row r="38" customFormat="false" ht="12.75" hidden="false" customHeight="true" outlineLevel="0" collapsed="false">
      <c r="A38" s="36" t="s">
        <v>176</v>
      </c>
      <c r="K38" s="36"/>
      <c r="L38" s="40" t="s">
        <v>177</v>
      </c>
    </row>
    <row r="39" customFormat="false" ht="12.75" hidden="false" customHeight="true" outlineLevel="0" collapsed="false">
      <c r="A39" s="36" t="s">
        <v>178</v>
      </c>
      <c r="K39" s="36"/>
      <c r="L39" s="40" t="s">
        <v>179</v>
      </c>
    </row>
    <row r="40" customFormat="false" ht="12.75" hidden="false" customHeight="true" outlineLevel="0" collapsed="false">
      <c r="A40" s="36" t="s">
        <v>180</v>
      </c>
      <c r="K40" s="36"/>
      <c r="L40" s="1" t="s">
        <v>181</v>
      </c>
    </row>
    <row r="41" customFormat="false" ht="12.75" hidden="false" customHeight="true" outlineLevel="0" collapsed="false">
      <c r="A41" s="36" t="s">
        <v>85</v>
      </c>
      <c r="K41" s="36"/>
      <c r="L41" s="1" t="s">
        <v>182</v>
      </c>
    </row>
    <row r="42" customFormat="false" ht="12.75" hidden="false" customHeight="true" outlineLevel="0" collapsed="false">
      <c r="A42" s="36" t="s">
        <v>183</v>
      </c>
      <c r="K42" s="36"/>
      <c r="L42" s="1" t="s">
        <v>184</v>
      </c>
    </row>
    <row r="43" customFormat="false" ht="12.75" hidden="false" customHeight="true" outlineLevel="0" collapsed="false">
      <c r="A43" s="36" t="s">
        <v>92</v>
      </c>
      <c r="K43" s="36"/>
      <c r="L43" s="1" t="s">
        <v>185</v>
      </c>
    </row>
    <row r="44" customFormat="false" ht="12.75" hidden="false" customHeight="true" outlineLevel="0" collapsed="false">
      <c r="A44" s="36" t="s">
        <v>186</v>
      </c>
      <c r="K44" s="36"/>
      <c r="L44" s="1" t="s">
        <v>187</v>
      </c>
    </row>
    <row r="45" customFormat="false" ht="12.75" hidden="false" customHeight="true" outlineLevel="0" collapsed="false">
      <c r="A45" s="36" t="s">
        <v>73</v>
      </c>
      <c r="K45" s="36"/>
      <c r="L45" s="1" t="s">
        <v>188</v>
      </c>
    </row>
    <row r="46" customFormat="false" ht="12.75" hidden="false" customHeight="true" outlineLevel="0" collapsed="false">
      <c r="A46" s="36" t="s">
        <v>189</v>
      </c>
      <c r="K46" s="36"/>
      <c r="L46" s="1" t="s">
        <v>190</v>
      </c>
    </row>
    <row r="47" customFormat="false" ht="12.75" hidden="false" customHeight="true" outlineLevel="0" collapsed="false">
      <c r="A47" s="36" t="s">
        <v>90</v>
      </c>
      <c r="K47" s="36"/>
      <c r="L47" s="1" t="s">
        <v>191</v>
      </c>
    </row>
    <row r="48" customFormat="false" ht="12.75" hidden="false" customHeight="true" outlineLevel="0" collapsed="false">
      <c r="A48" s="36" t="s">
        <v>192</v>
      </c>
      <c r="K48" s="36"/>
      <c r="L48" s="1" t="s">
        <v>193</v>
      </c>
    </row>
    <row r="49" customFormat="false" ht="12.75" hidden="false" customHeight="true" outlineLevel="0" collapsed="false">
      <c r="A49" s="36" t="s">
        <v>194</v>
      </c>
      <c r="K49" s="36"/>
      <c r="L49" s="1" t="s">
        <v>195</v>
      </c>
    </row>
    <row r="50" customFormat="false" ht="12.75" hidden="false" customHeight="true" outlineLevel="0" collapsed="false">
      <c r="A50" s="36" t="s">
        <v>196</v>
      </c>
      <c r="K50" s="36"/>
      <c r="L50" s="1" t="s">
        <v>197</v>
      </c>
    </row>
    <row r="51" customFormat="false" ht="12.75" hidden="false" customHeight="true" outlineLevel="0" collapsed="false">
      <c r="A51" s="36" t="s">
        <v>198</v>
      </c>
      <c r="K51" s="36"/>
      <c r="L51" s="1" t="s">
        <v>199</v>
      </c>
    </row>
    <row r="52" customFormat="false" ht="12.75" hidden="false" customHeight="true" outlineLevel="0" collapsed="false">
      <c r="A52" s="36" t="s">
        <v>83</v>
      </c>
      <c r="K52" s="36"/>
      <c r="L52" s="1" t="s">
        <v>200</v>
      </c>
    </row>
    <row r="53" customFormat="false" ht="12.75" hidden="false" customHeight="true" outlineLevel="0" collapsed="false">
      <c r="A53" s="36" t="s">
        <v>201</v>
      </c>
      <c r="K53" s="36"/>
      <c r="L53" s="1" t="s">
        <v>202</v>
      </c>
    </row>
    <row r="54" customFormat="false" ht="12.75" hidden="false" customHeight="true" outlineLevel="0" collapsed="false">
      <c r="A54" s="36" t="s">
        <v>203</v>
      </c>
      <c r="K54" s="36"/>
      <c r="L54" s="1" t="s">
        <v>204</v>
      </c>
    </row>
    <row r="55" customFormat="false" ht="12.75" hidden="false" customHeight="true" outlineLevel="0" collapsed="false">
      <c r="K55" s="36"/>
      <c r="L55" s="1" t="s">
        <v>205</v>
      </c>
    </row>
    <row r="56" customFormat="false" ht="12.75" hidden="false" customHeight="true" outlineLevel="0" collapsed="false">
      <c r="K56" s="36"/>
      <c r="L56" s="1" t="s">
        <v>206</v>
      </c>
    </row>
    <row r="57" customFormat="false" ht="12.75" hidden="false" customHeight="true" outlineLevel="0" collapsed="false">
      <c r="K57" s="36"/>
      <c r="L57" s="1" t="s">
        <v>207</v>
      </c>
    </row>
    <row r="58" customFormat="false" ht="12.75" hidden="false" customHeight="true" outlineLevel="0" collapsed="false">
      <c r="K58" s="36"/>
      <c r="L58" s="1" t="s">
        <v>208</v>
      </c>
    </row>
    <row r="59" customFormat="false" ht="12.75" hidden="false" customHeight="true" outlineLevel="0" collapsed="false">
      <c r="K59" s="36"/>
      <c r="L59" s="1" t="s">
        <v>209</v>
      </c>
    </row>
    <row r="60" customFormat="false" ht="12.75" hidden="false" customHeight="true" outlineLevel="0" collapsed="false">
      <c r="K60" s="36"/>
      <c r="L60" s="1" t="s">
        <v>210</v>
      </c>
    </row>
    <row r="61" customFormat="false" ht="12.75" hidden="false" customHeight="true" outlineLevel="0" collapsed="false">
      <c r="K61" s="36"/>
      <c r="L61" s="1" t="s">
        <v>211</v>
      </c>
    </row>
    <row r="62" customFormat="false" ht="12.75" hidden="false" customHeight="true" outlineLevel="0" collapsed="false">
      <c r="L62" s="1" t="s">
        <v>212</v>
      </c>
    </row>
    <row r="63" customFormat="false" ht="12.75" hidden="false" customHeight="true" outlineLevel="0" collapsed="false">
      <c r="L63" s="1" t="s">
        <v>213</v>
      </c>
    </row>
    <row r="64" customFormat="false" ht="12.75" hidden="false" customHeight="true" outlineLevel="0" collapsed="false">
      <c r="L64" s="1" t="s">
        <v>214</v>
      </c>
    </row>
    <row r="65" customFormat="false" ht="12.75" hidden="false" customHeight="true" outlineLevel="0" collapsed="false">
      <c r="L65" s="1" t="s">
        <v>215</v>
      </c>
    </row>
    <row r="66" customFormat="false" ht="12.75" hidden="false" customHeight="true" outlineLevel="0" collapsed="false">
      <c r="L66" s="1" t="s">
        <v>216</v>
      </c>
    </row>
    <row r="67" customFormat="false" ht="12.75" hidden="false" customHeight="true" outlineLevel="0" collapsed="false">
      <c r="L67" s="1" t="s">
        <v>217</v>
      </c>
    </row>
    <row r="68" customFormat="false" ht="12.75" hidden="false" customHeight="true" outlineLevel="0" collapsed="false">
      <c r="L68" s="1" t="s">
        <v>218</v>
      </c>
    </row>
    <row r="69" customFormat="false" ht="12.75" hidden="false" customHeight="true" outlineLevel="0" collapsed="false">
      <c r="L69" s="1" t="s">
        <v>219</v>
      </c>
    </row>
    <row r="70" customFormat="false" ht="12.75" hidden="false" customHeight="true" outlineLevel="0" collapsed="false">
      <c r="L70" s="1" t="s">
        <v>220</v>
      </c>
    </row>
    <row r="71" customFormat="false" ht="12.75" hidden="false" customHeight="true" outlineLevel="0" collapsed="false">
      <c r="L71" s="1" t="s">
        <v>221</v>
      </c>
    </row>
    <row r="72" customFormat="false" ht="12.75" hidden="false" customHeight="true" outlineLevel="0" collapsed="false">
      <c r="L72" s="1" t="s">
        <v>222</v>
      </c>
    </row>
    <row r="73" customFormat="false" ht="12.75" hidden="false" customHeight="true" outlineLevel="0" collapsed="false">
      <c r="L73" s="1" t="s">
        <v>223</v>
      </c>
    </row>
    <row r="74" customFormat="false" ht="12.75" hidden="false" customHeight="true" outlineLevel="0" collapsed="false">
      <c r="L74" s="1" t="s">
        <v>224</v>
      </c>
    </row>
    <row r="75" customFormat="false" ht="12.75" hidden="false" customHeight="true" outlineLevel="0" collapsed="false">
      <c r="L75" s="1" t="s">
        <v>225</v>
      </c>
    </row>
    <row r="76" customFormat="false" ht="12.75" hidden="false" customHeight="true" outlineLevel="0" collapsed="false">
      <c r="L76" s="1" t="s">
        <v>226</v>
      </c>
    </row>
    <row r="77" customFormat="false" ht="12.75" hidden="false" customHeight="true" outlineLevel="0" collapsed="false">
      <c r="L77" s="1" t="s">
        <v>15</v>
      </c>
    </row>
    <row r="78" customFormat="false" ht="12.75" hidden="false" customHeight="true" outlineLevel="0" collapsed="false">
      <c r="L78" s="1" t="s">
        <v>227</v>
      </c>
    </row>
    <row r="79" customFormat="false" ht="12.75" hidden="false" customHeight="true" outlineLevel="0" collapsed="false">
      <c r="L79" s="1" t="s">
        <v>228</v>
      </c>
    </row>
    <row r="80" customFormat="false" ht="12.75" hidden="false" customHeight="true" outlineLevel="0" collapsed="false">
      <c r="L80" s="1" t="s">
        <v>229</v>
      </c>
    </row>
    <row r="81" customFormat="false" ht="12.75" hidden="false" customHeight="true" outlineLevel="0" collapsed="false">
      <c r="L81" s="1" t="s">
        <v>230</v>
      </c>
    </row>
    <row r="82" customFormat="false" ht="12.75" hidden="false" customHeight="true" outlineLevel="0" collapsed="false">
      <c r="L82" s="1" t="s">
        <v>231</v>
      </c>
    </row>
    <row r="83" customFormat="false" ht="12.75" hidden="false" customHeight="true" outlineLevel="0" collapsed="false">
      <c r="L83" s="1" t="s">
        <v>232</v>
      </c>
    </row>
    <row r="84" customFormat="false" ht="12.75" hidden="false" customHeight="true" outlineLevel="0" collapsed="false">
      <c r="L84" s="1" t="s">
        <v>233</v>
      </c>
    </row>
    <row r="85" customFormat="false" ht="12.75" hidden="false" customHeight="true" outlineLevel="0" collapsed="false">
      <c r="L85" s="1" t="s">
        <v>234</v>
      </c>
    </row>
    <row r="86" customFormat="false" ht="12.75" hidden="false" customHeight="true" outlineLevel="0" collapsed="false">
      <c r="L86" s="1" t="s">
        <v>235</v>
      </c>
    </row>
    <row r="87" customFormat="false" ht="12.75" hidden="false" customHeight="true" outlineLevel="0" collapsed="false">
      <c r="L87" s="1" t="s">
        <v>236</v>
      </c>
    </row>
    <row r="88" customFormat="false" ht="12.75" hidden="false" customHeight="true" outlineLevel="0" collapsed="false">
      <c r="L88" s="1" t="s">
        <v>237</v>
      </c>
    </row>
    <row r="89" customFormat="false" ht="12.75" hidden="false" customHeight="true" outlineLevel="0" collapsed="false">
      <c r="L89" s="1" t="s">
        <v>238</v>
      </c>
    </row>
    <row r="90" customFormat="false" ht="12.75" hidden="false" customHeight="true" outlineLevel="0" collapsed="false">
      <c r="L90" s="1" t="s">
        <v>239</v>
      </c>
    </row>
    <row r="91" customFormat="false" ht="12.75" hidden="false" customHeight="true" outlineLevel="0" collapsed="false">
      <c r="L91" s="1" t="s">
        <v>240</v>
      </c>
    </row>
    <row r="92" customFormat="false" ht="12.75" hidden="false" customHeight="true" outlineLevel="0" collapsed="false">
      <c r="L92" s="1" t="s">
        <v>241</v>
      </c>
    </row>
    <row r="93" customFormat="false" ht="12.75" hidden="false" customHeight="true" outlineLevel="0" collapsed="false">
      <c r="L93" s="1" t="s">
        <v>242</v>
      </c>
    </row>
    <row r="94" customFormat="false" ht="12.75" hidden="false" customHeight="true" outlineLevel="0" collapsed="false">
      <c r="L94" s="1" t="s">
        <v>243</v>
      </c>
    </row>
    <row r="95" customFormat="false" ht="12.75" hidden="false" customHeight="true" outlineLevel="0" collapsed="false">
      <c r="L95" s="1" t="s">
        <v>244</v>
      </c>
    </row>
    <row r="96" customFormat="false" ht="12.75" hidden="false" customHeight="true" outlineLevel="0" collapsed="false">
      <c r="L96" s="1" t="s">
        <v>245</v>
      </c>
    </row>
    <row r="97" customFormat="false" ht="12.75" hidden="false" customHeight="true" outlineLevel="0" collapsed="false">
      <c r="L97" s="1" t="s">
        <v>246</v>
      </c>
    </row>
    <row r="98" customFormat="false" ht="12.75" hidden="false" customHeight="true" outlineLevel="0" collapsed="false">
      <c r="L98" s="1" t="s">
        <v>247</v>
      </c>
    </row>
    <row r="99" customFormat="false" ht="12.75" hidden="false" customHeight="true" outlineLevel="0" collapsed="false">
      <c r="L99" s="1" t="s">
        <v>248</v>
      </c>
    </row>
    <row r="100" customFormat="false" ht="12.75" hidden="false" customHeight="true" outlineLevel="0" collapsed="false">
      <c r="L100" s="1" t="s">
        <v>249</v>
      </c>
    </row>
    <row r="101" customFormat="false" ht="12.75" hidden="false" customHeight="true" outlineLevel="0" collapsed="false">
      <c r="L101" s="1" t="s">
        <v>250</v>
      </c>
    </row>
    <row r="102" customFormat="false" ht="12.75" hidden="false" customHeight="true" outlineLevel="0" collapsed="false">
      <c r="L102" s="1" t="s">
        <v>251</v>
      </c>
    </row>
    <row r="103" customFormat="false" ht="12.75" hidden="false" customHeight="true" outlineLevel="0" collapsed="false">
      <c r="L103" s="1" t="s">
        <v>252</v>
      </c>
    </row>
    <row r="104" customFormat="false" ht="12.75" hidden="false" customHeight="true" outlineLevel="0" collapsed="false">
      <c r="L104" s="1" t="s">
        <v>253</v>
      </c>
    </row>
    <row r="105" customFormat="false" ht="12.75" hidden="false" customHeight="true" outlineLevel="0" collapsed="false">
      <c r="L105" s="1" t="s">
        <v>254</v>
      </c>
    </row>
    <row r="106" customFormat="false" ht="12.75" hidden="false" customHeight="true" outlineLevel="0" collapsed="false">
      <c r="L106" s="1" t="s">
        <v>255</v>
      </c>
    </row>
    <row r="107" customFormat="false" ht="12.75" hidden="false" customHeight="true" outlineLevel="0" collapsed="false">
      <c r="L107" s="1" t="s">
        <v>256</v>
      </c>
    </row>
    <row r="108" customFormat="false" ht="12.75" hidden="false" customHeight="true" outlineLevel="0" collapsed="false">
      <c r="L108" s="1" t="s">
        <v>257</v>
      </c>
    </row>
    <row r="109" customFormat="false" ht="12.75" hidden="false" customHeight="true" outlineLevel="0" collapsed="false">
      <c r="L109" s="1" t="s">
        <v>258</v>
      </c>
    </row>
    <row r="110" customFormat="false" ht="12.75" hidden="false" customHeight="true" outlineLevel="0" collapsed="false">
      <c r="L110" s="1" t="s">
        <v>259</v>
      </c>
    </row>
    <row r="111" customFormat="false" ht="12.75" hidden="false" customHeight="true" outlineLevel="0" collapsed="false">
      <c r="L111" s="1" t="s">
        <v>260</v>
      </c>
    </row>
    <row r="112" customFormat="false" ht="12.75" hidden="false" customHeight="true" outlineLevel="0" collapsed="false">
      <c r="L112" s="1" t="s">
        <v>261</v>
      </c>
    </row>
    <row r="113" customFormat="false" ht="12.75" hidden="false" customHeight="true" outlineLevel="0" collapsed="false">
      <c r="L113" s="1" t="s">
        <v>262</v>
      </c>
    </row>
    <row r="114" customFormat="false" ht="12.75" hidden="false" customHeight="true" outlineLevel="0" collapsed="false">
      <c r="L114" s="1" t="s">
        <v>263</v>
      </c>
    </row>
    <row r="115" customFormat="false" ht="12.75" hidden="false" customHeight="true" outlineLevel="0" collapsed="false">
      <c r="L115" s="1" t="s">
        <v>264</v>
      </c>
    </row>
    <row r="116" customFormat="false" ht="12.75" hidden="false" customHeight="true" outlineLevel="0" collapsed="false">
      <c r="L116" s="1" t="s">
        <v>265</v>
      </c>
    </row>
    <row r="117" customFormat="false" ht="12.75" hidden="false" customHeight="true" outlineLevel="0" collapsed="false">
      <c r="L117" s="1" t="s">
        <v>266</v>
      </c>
    </row>
    <row r="118" customFormat="false" ht="12.75" hidden="false" customHeight="true" outlineLevel="0" collapsed="false">
      <c r="L118" s="1" t="s">
        <v>267</v>
      </c>
    </row>
    <row r="119" customFormat="false" ht="12.75" hidden="false" customHeight="true" outlineLevel="0" collapsed="false">
      <c r="L119" s="1" t="s">
        <v>268</v>
      </c>
    </row>
    <row r="120" customFormat="false" ht="12.75" hidden="false" customHeight="true" outlineLevel="0" collapsed="false">
      <c r="L120" s="1" t="s">
        <v>269</v>
      </c>
    </row>
    <row r="121" customFormat="false" ht="12.75" hidden="false" customHeight="true" outlineLevel="0" collapsed="false">
      <c r="L121" s="1" t="s">
        <v>270</v>
      </c>
    </row>
    <row r="122" customFormat="false" ht="12.75" hidden="false" customHeight="true" outlineLevel="0" collapsed="false">
      <c r="L122" s="1" t="s">
        <v>271</v>
      </c>
    </row>
    <row r="123" customFormat="false" ht="12.75" hidden="false" customHeight="true" outlineLevel="0" collapsed="false">
      <c r="L123" s="1" t="s">
        <v>272</v>
      </c>
    </row>
    <row r="124" customFormat="false" ht="12.75" hidden="false" customHeight="true" outlineLevel="0" collapsed="false">
      <c r="L124" s="1" t="s">
        <v>273</v>
      </c>
    </row>
    <row r="125" customFormat="false" ht="12.75" hidden="false" customHeight="true" outlineLevel="0" collapsed="false">
      <c r="L125" s="1" t="s">
        <v>274</v>
      </c>
    </row>
    <row r="126" customFormat="false" ht="12.75" hidden="false" customHeight="true" outlineLevel="0" collapsed="false">
      <c r="L126" s="1" t="s">
        <v>275</v>
      </c>
    </row>
    <row r="127" customFormat="false" ht="12.75" hidden="false" customHeight="true" outlineLevel="0" collapsed="false">
      <c r="L127" s="1" t="s">
        <v>276</v>
      </c>
    </row>
    <row r="128" customFormat="false" ht="12.75" hidden="false" customHeight="true" outlineLevel="0" collapsed="false">
      <c r="L128" s="1" t="s">
        <v>277</v>
      </c>
    </row>
    <row r="129" customFormat="false" ht="12.75" hidden="false" customHeight="true" outlineLevel="0" collapsed="false">
      <c r="L129" s="1" t="s">
        <v>278</v>
      </c>
    </row>
    <row r="130" customFormat="false" ht="12.75" hidden="false" customHeight="true" outlineLevel="0" collapsed="false">
      <c r="L130" s="1" t="s">
        <v>279</v>
      </c>
    </row>
    <row r="131" customFormat="false" ht="12.75" hidden="false" customHeight="true" outlineLevel="0" collapsed="false">
      <c r="L131" s="1" t="s">
        <v>280</v>
      </c>
    </row>
    <row r="132" customFormat="false" ht="12.75" hidden="false" customHeight="true" outlineLevel="0" collapsed="false">
      <c r="L132" s="1" t="s">
        <v>281</v>
      </c>
    </row>
    <row r="133" customFormat="false" ht="12.75" hidden="false" customHeight="true" outlineLevel="0" collapsed="false">
      <c r="L133" s="1" t="s">
        <v>282</v>
      </c>
    </row>
    <row r="134" customFormat="false" ht="12.75" hidden="false" customHeight="true" outlineLevel="0" collapsed="false">
      <c r="L134" s="1" t="s">
        <v>283</v>
      </c>
    </row>
    <row r="135" customFormat="false" ht="12.75" hidden="false" customHeight="true" outlineLevel="0" collapsed="false">
      <c r="L135" s="1" t="s">
        <v>284</v>
      </c>
    </row>
    <row r="136" customFormat="false" ht="12.75" hidden="false" customHeight="true" outlineLevel="0" collapsed="false">
      <c r="L136" s="1" t="s">
        <v>285</v>
      </c>
    </row>
    <row r="137" customFormat="false" ht="12.75" hidden="false" customHeight="true" outlineLevel="0" collapsed="false">
      <c r="L137" s="1" t="s">
        <v>286</v>
      </c>
    </row>
    <row r="138" customFormat="false" ht="12.75" hidden="false" customHeight="true" outlineLevel="0" collapsed="false">
      <c r="L138" s="1" t="s">
        <v>287</v>
      </c>
    </row>
    <row r="139" customFormat="false" ht="12.75" hidden="false" customHeight="true" outlineLevel="0" collapsed="false">
      <c r="L139" s="1" t="s">
        <v>288</v>
      </c>
    </row>
    <row r="140" customFormat="false" ht="12.75" hidden="false" customHeight="true" outlineLevel="0" collapsed="false">
      <c r="L140" s="1" t="s">
        <v>289</v>
      </c>
    </row>
    <row r="141" customFormat="false" ht="12.75" hidden="false" customHeight="true" outlineLevel="0" collapsed="false">
      <c r="L141" s="1" t="s">
        <v>290</v>
      </c>
    </row>
    <row r="142" customFormat="false" ht="12.75" hidden="false" customHeight="true" outlineLevel="0" collapsed="false">
      <c r="L142" s="1" t="s">
        <v>291</v>
      </c>
    </row>
    <row r="143" customFormat="false" ht="12.75" hidden="false" customHeight="true" outlineLevel="0" collapsed="false">
      <c r="L143" s="1" t="s">
        <v>292</v>
      </c>
    </row>
    <row r="144" customFormat="false" ht="12.75" hidden="false" customHeight="true" outlineLevel="0" collapsed="false">
      <c r="L144" s="1" t="s">
        <v>293</v>
      </c>
    </row>
    <row r="145" customFormat="false" ht="12.75" hidden="false" customHeight="true" outlineLevel="0" collapsed="false">
      <c r="L145" s="1" t="s">
        <v>294</v>
      </c>
    </row>
    <row r="146" customFormat="false" ht="12.75" hidden="false" customHeight="true" outlineLevel="0" collapsed="false">
      <c r="L146" s="1" t="s">
        <v>295</v>
      </c>
    </row>
    <row r="147" customFormat="false" ht="12.75" hidden="false" customHeight="true" outlineLevel="0" collapsed="false">
      <c r="L147" s="1" t="s">
        <v>296</v>
      </c>
    </row>
    <row r="148" customFormat="false" ht="12.75" hidden="false" customHeight="true" outlineLevel="0" collapsed="false">
      <c r="L148" s="1" t="s">
        <v>297</v>
      </c>
    </row>
    <row r="149" customFormat="false" ht="12.75" hidden="false" customHeight="true" outlineLevel="0" collapsed="false">
      <c r="L149" s="1" t="s">
        <v>298</v>
      </c>
    </row>
    <row r="150" customFormat="false" ht="12.75" hidden="false" customHeight="true" outlineLevel="0" collapsed="false">
      <c r="L150" s="1" t="s">
        <v>299</v>
      </c>
    </row>
    <row r="151" customFormat="false" ht="12.75" hidden="false" customHeight="true" outlineLevel="0" collapsed="false">
      <c r="L151" s="1" t="s">
        <v>300</v>
      </c>
    </row>
    <row r="152" customFormat="false" ht="12.75" hidden="false" customHeight="true" outlineLevel="0" collapsed="false">
      <c r="L152" s="1" t="s">
        <v>301</v>
      </c>
    </row>
    <row r="153" customFormat="false" ht="12.75" hidden="false" customHeight="true" outlineLevel="0" collapsed="false">
      <c r="L153" s="1" t="s">
        <v>302</v>
      </c>
    </row>
    <row r="154" customFormat="false" ht="12.75" hidden="false" customHeight="true" outlineLevel="0" collapsed="false">
      <c r="L154" s="1" t="s">
        <v>303</v>
      </c>
    </row>
    <row r="155" customFormat="false" ht="12.75" hidden="false" customHeight="true" outlineLevel="0" collapsed="false">
      <c r="L155" s="1" t="s">
        <v>304</v>
      </c>
    </row>
    <row r="156" customFormat="false" ht="12.75" hidden="false" customHeight="true" outlineLevel="0" collapsed="false">
      <c r="L156" s="1" t="s">
        <v>305</v>
      </c>
    </row>
    <row r="157" customFormat="false" ht="12.75" hidden="false" customHeight="true" outlineLevel="0" collapsed="false">
      <c r="L157" s="1" t="s">
        <v>306</v>
      </c>
    </row>
    <row r="158" customFormat="false" ht="12.75" hidden="false" customHeight="true" outlineLevel="0" collapsed="false">
      <c r="L158" s="1" t="s">
        <v>307</v>
      </c>
    </row>
    <row r="159" customFormat="false" ht="12.75" hidden="false" customHeight="true" outlineLevel="0" collapsed="false">
      <c r="L159" s="1" t="s">
        <v>308</v>
      </c>
    </row>
    <row r="160" customFormat="false" ht="12.75" hidden="false" customHeight="true" outlineLevel="0" collapsed="false">
      <c r="L160" s="1" t="s">
        <v>309</v>
      </c>
    </row>
    <row r="161" customFormat="false" ht="12.75" hidden="false" customHeight="true" outlineLevel="0" collapsed="false">
      <c r="L161" s="1" t="s">
        <v>310</v>
      </c>
    </row>
    <row r="162" customFormat="false" ht="12.75" hidden="false" customHeight="true" outlineLevel="0" collapsed="false">
      <c r="L162" s="1" t="s">
        <v>311</v>
      </c>
    </row>
    <row r="163" customFormat="false" ht="12.75" hidden="false" customHeight="true" outlineLevel="0" collapsed="false">
      <c r="L163" s="1" t="s">
        <v>312</v>
      </c>
    </row>
    <row r="164" customFormat="false" ht="12.75" hidden="false" customHeight="true" outlineLevel="0" collapsed="false">
      <c r="L164" s="1" t="s">
        <v>313</v>
      </c>
    </row>
    <row r="165" customFormat="false" ht="12.75" hidden="false" customHeight="true" outlineLevel="0" collapsed="false">
      <c r="L165" s="1" t="s">
        <v>314</v>
      </c>
    </row>
    <row r="166" customFormat="false" ht="12.75" hidden="false" customHeight="true" outlineLevel="0" collapsed="false">
      <c r="L166" s="1" t="s">
        <v>315</v>
      </c>
    </row>
    <row r="167" customFormat="false" ht="12.75" hidden="false" customHeight="true" outlineLevel="0" collapsed="false">
      <c r="L167" s="1" t="s">
        <v>316</v>
      </c>
    </row>
    <row r="168" customFormat="false" ht="12.75" hidden="false" customHeight="true" outlineLevel="0" collapsed="false">
      <c r="L168" s="1" t="s">
        <v>317</v>
      </c>
    </row>
    <row r="169" customFormat="false" ht="12.75" hidden="false" customHeight="true" outlineLevel="0" collapsed="false">
      <c r="L169" s="1" t="s">
        <v>318</v>
      </c>
    </row>
    <row r="170" customFormat="false" ht="12.75" hidden="false" customHeight="true" outlineLevel="0" collapsed="false">
      <c r="L170" s="1" t="s">
        <v>319</v>
      </c>
    </row>
    <row r="171" customFormat="false" ht="12.75" hidden="false" customHeight="true" outlineLevel="0" collapsed="false">
      <c r="L171" s="1" t="s">
        <v>320</v>
      </c>
    </row>
    <row r="172" customFormat="false" ht="12.75" hidden="false" customHeight="true" outlineLevel="0" collapsed="false">
      <c r="L172" s="1" t="s">
        <v>321</v>
      </c>
    </row>
    <row r="173" customFormat="false" ht="12.75" hidden="false" customHeight="true" outlineLevel="0" collapsed="false">
      <c r="L173" s="1" t="s">
        <v>322</v>
      </c>
    </row>
    <row r="174" customFormat="false" ht="12.75" hidden="false" customHeight="true" outlineLevel="0" collapsed="false">
      <c r="L174" s="1" t="s">
        <v>323</v>
      </c>
    </row>
    <row r="175" customFormat="false" ht="12.75" hidden="false" customHeight="true" outlineLevel="0" collapsed="false">
      <c r="L175" s="1" t="s">
        <v>324</v>
      </c>
    </row>
    <row r="176" customFormat="false" ht="12.75" hidden="false" customHeight="true" outlineLevel="0" collapsed="false">
      <c r="L176" s="1" t="s">
        <v>325</v>
      </c>
    </row>
    <row r="177" customFormat="false" ht="12.75" hidden="false" customHeight="true" outlineLevel="0" collapsed="false">
      <c r="L177" s="1" t="s">
        <v>326</v>
      </c>
    </row>
    <row r="178" customFormat="false" ht="12.75" hidden="false" customHeight="true" outlineLevel="0" collapsed="false">
      <c r="L178" s="1" t="s">
        <v>327</v>
      </c>
    </row>
    <row r="179" customFormat="false" ht="12.75" hidden="false" customHeight="true" outlineLevel="0" collapsed="false">
      <c r="L179" s="1" t="s">
        <v>328</v>
      </c>
    </row>
    <row r="180" customFormat="false" ht="12.75" hidden="false" customHeight="true" outlineLevel="0" collapsed="false">
      <c r="L180" s="1" t="s">
        <v>329</v>
      </c>
    </row>
    <row r="181" customFormat="false" ht="12.75" hidden="false" customHeight="true" outlineLevel="0" collapsed="false">
      <c r="L181" s="1" t="s">
        <v>330</v>
      </c>
    </row>
    <row r="182" customFormat="false" ht="12.75" hidden="false" customHeight="true" outlineLevel="0" collapsed="false">
      <c r="L182" s="1" t="s">
        <v>331</v>
      </c>
    </row>
    <row r="183" customFormat="false" ht="12.75" hidden="false" customHeight="true" outlineLevel="0" collapsed="false">
      <c r="L183" s="1" t="s">
        <v>332</v>
      </c>
    </row>
    <row r="184" customFormat="false" ht="12.75" hidden="false" customHeight="true" outlineLevel="0" collapsed="false">
      <c r="L184" s="1" t="s">
        <v>333</v>
      </c>
    </row>
    <row r="185" customFormat="false" ht="12.75" hidden="false" customHeight="true" outlineLevel="0" collapsed="false">
      <c r="L185" s="1" t="s">
        <v>334</v>
      </c>
    </row>
    <row r="186" customFormat="false" ht="12.75" hidden="false" customHeight="true" outlineLevel="0" collapsed="false">
      <c r="L186" s="1" t="s">
        <v>335</v>
      </c>
    </row>
    <row r="187" customFormat="false" ht="12.75" hidden="false" customHeight="true" outlineLevel="0" collapsed="false">
      <c r="L187" s="1" t="s">
        <v>336</v>
      </c>
    </row>
    <row r="188" customFormat="false" ht="12.75" hidden="false" customHeight="true" outlineLevel="0" collapsed="false">
      <c r="L188" s="1" t="s">
        <v>337</v>
      </c>
    </row>
    <row r="189" customFormat="false" ht="12.75" hidden="false" customHeight="true" outlineLevel="0" collapsed="false">
      <c r="L189" s="1" t="s">
        <v>338</v>
      </c>
    </row>
    <row r="190" customFormat="false" ht="12.75" hidden="false" customHeight="true" outlineLevel="0" collapsed="false">
      <c r="L190" s="1" t="s">
        <v>339</v>
      </c>
    </row>
    <row r="191" customFormat="false" ht="12.75" hidden="false" customHeight="true" outlineLevel="0" collapsed="false">
      <c r="L191" s="1" t="s">
        <v>340</v>
      </c>
    </row>
    <row r="192" customFormat="false" ht="12.75" hidden="false" customHeight="true" outlineLevel="0" collapsed="false">
      <c r="L192" s="1" t="s">
        <v>341</v>
      </c>
    </row>
    <row r="193" customFormat="false" ht="12.75" hidden="false" customHeight="true" outlineLevel="0" collapsed="false">
      <c r="L193" s="1" t="s">
        <v>342</v>
      </c>
    </row>
    <row r="194" customFormat="false" ht="12.75" hidden="false" customHeight="true" outlineLevel="0" collapsed="false">
      <c r="L194" s="1" t="s">
        <v>343</v>
      </c>
    </row>
    <row r="195" customFormat="false" ht="12.75" hidden="false" customHeight="true" outlineLevel="0" collapsed="false">
      <c r="L195" s="1" t="s">
        <v>344</v>
      </c>
    </row>
    <row r="196" customFormat="false" ht="12.75" hidden="false" customHeight="true" outlineLevel="0" collapsed="false">
      <c r="L196" s="1" t="s">
        <v>345</v>
      </c>
    </row>
    <row r="197" customFormat="false" ht="12.75" hidden="false" customHeight="true" outlineLevel="0" collapsed="false">
      <c r="L197" s="1" t="s">
        <v>346</v>
      </c>
    </row>
    <row r="198" customFormat="false" ht="12.75" hidden="false" customHeight="true" outlineLevel="0" collapsed="false">
      <c r="L198" s="1" t="s">
        <v>347</v>
      </c>
    </row>
    <row r="199" customFormat="false" ht="12.75" hidden="false" customHeight="true" outlineLevel="0" collapsed="false">
      <c r="L199" s="1" t="s">
        <v>348</v>
      </c>
    </row>
    <row r="200" customFormat="false" ht="12.75" hidden="false" customHeight="true" outlineLevel="0" collapsed="false">
      <c r="L200" s="1" t="s">
        <v>349</v>
      </c>
    </row>
    <row r="201" customFormat="false" ht="12.75" hidden="false" customHeight="true" outlineLevel="0" collapsed="false">
      <c r="L201" s="1" t="s">
        <v>350</v>
      </c>
    </row>
    <row r="202" customFormat="false" ht="12.75" hidden="false" customHeight="true" outlineLevel="0" collapsed="false">
      <c r="L202" s="1" t="s">
        <v>351</v>
      </c>
    </row>
    <row r="203" customFormat="false" ht="12.75" hidden="false" customHeight="true" outlineLevel="0" collapsed="false">
      <c r="L203" s="1" t="s">
        <v>352</v>
      </c>
    </row>
    <row r="204" customFormat="false" ht="12.75" hidden="false" customHeight="true" outlineLevel="0" collapsed="false">
      <c r="L204" s="1" t="s">
        <v>353</v>
      </c>
    </row>
    <row r="205" customFormat="false" ht="12.75" hidden="false" customHeight="true" outlineLevel="0" collapsed="false">
      <c r="L205" s="1" t="s">
        <v>354</v>
      </c>
    </row>
    <row r="206" customFormat="false" ht="12.75" hidden="false" customHeight="true" outlineLevel="0" collapsed="false">
      <c r="L206" s="1" t="s">
        <v>355</v>
      </c>
    </row>
    <row r="207" customFormat="false" ht="12.75" hidden="false" customHeight="true" outlineLevel="0" collapsed="false">
      <c r="L207" s="1" t="s">
        <v>356</v>
      </c>
    </row>
    <row r="208" customFormat="false" ht="12.75" hidden="false" customHeight="true" outlineLevel="0" collapsed="false">
      <c r="L208" s="1" t="s">
        <v>357</v>
      </c>
    </row>
    <row r="209" customFormat="false" ht="12.75" hidden="false" customHeight="true" outlineLevel="0" collapsed="false">
      <c r="L209" s="1" t="s">
        <v>358</v>
      </c>
    </row>
    <row r="210" customFormat="false" ht="12.75" hidden="false" customHeight="true" outlineLevel="0" collapsed="false">
      <c r="L210" s="1" t="s">
        <v>359</v>
      </c>
    </row>
    <row r="211" customFormat="false" ht="12.75" hidden="false" customHeight="true" outlineLevel="0" collapsed="false">
      <c r="L211" s="1" t="s">
        <v>360</v>
      </c>
    </row>
    <row r="212" customFormat="false" ht="12.75" hidden="false" customHeight="true" outlineLevel="0" collapsed="false">
      <c r="L212" s="1" t="s">
        <v>361</v>
      </c>
    </row>
    <row r="213" customFormat="false" ht="12.75" hidden="false" customHeight="true" outlineLevel="0" collapsed="false">
      <c r="L213" s="1" t="s">
        <v>362</v>
      </c>
    </row>
    <row r="214" customFormat="false" ht="12.75" hidden="false" customHeight="true" outlineLevel="0" collapsed="false">
      <c r="L214" s="1" t="s">
        <v>363</v>
      </c>
    </row>
    <row r="215" customFormat="false" ht="12.75" hidden="false" customHeight="true" outlineLevel="0" collapsed="false">
      <c r="L215" s="1" t="s">
        <v>364</v>
      </c>
    </row>
    <row r="216" customFormat="false" ht="12.75" hidden="false" customHeight="true" outlineLevel="0" collapsed="false">
      <c r="L216" s="1" t="s">
        <v>365</v>
      </c>
    </row>
    <row r="217" customFormat="false" ht="12.75" hidden="false" customHeight="true" outlineLevel="0" collapsed="false">
      <c r="L217" s="1" t="s">
        <v>366</v>
      </c>
    </row>
    <row r="218" customFormat="false" ht="12.75" hidden="false" customHeight="true" outlineLevel="0" collapsed="false">
      <c r="L218" s="1" t="s">
        <v>367</v>
      </c>
    </row>
    <row r="219" customFormat="false" ht="12.75" hidden="false" customHeight="true" outlineLevel="0" collapsed="false">
      <c r="L219" s="1" t="s">
        <v>368</v>
      </c>
    </row>
    <row r="220" customFormat="false" ht="12.75" hidden="false" customHeight="true" outlineLevel="0" collapsed="false">
      <c r="L220" s="1" t="s">
        <v>369</v>
      </c>
    </row>
    <row r="221" customFormat="false" ht="12.75" hidden="false" customHeight="true" outlineLevel="0" collapsed="false">
      <c r="L221" s="1" t="s">
        <v>370</v>
      </c>
    </row>
    <row r="222" customFormat="false" ht="12.75" hidden="false" customHeight="true" outlineLevel="0" collapsed="false">
      <c r="L222" s="1" t="s">
        <v>371</v>
      </c>
    </row>
    <row r="223" customFormat="false" ht="12.75" hidden="false" customHeight="true" outlineLevel="0" collapsed="false">
      <c r="L223" s="1" t="s">
        <v>372</v>
      </c>
    </row>
    <row r="224" customFormat="false" ht="12.75" hidden="false" customHeight="true" outlineLevel="0" collapsed="false">
      <c r="L224" s="1" t="s">
        <v>373</v>
      </c>
    </row>
    <row r="225" customFormat="false" ht="12.75" hidden="false" customHeight="true" outlineLevel="0" collapsed="false">
      <c r="L225" s="1" t="s">
        <v>374</v>
      </c>
    </row>
    <row r="226" customFormat="false" ht="12.75" hidden="false" customHeight="true" outlineLevel="0" collapsed="false">
      <c r="L226" s="1" t="s">
        <v>375</v>
      </c>
    </row>
    <row r="227" customFormat="false" ht="12.75" hidden="false" customHeight="true" outlineLevel="0" collapsed="false">
      <c r="L227" s="1" t="s">
        <v>376</v>
      </c>
    </row>
    <row r="228" customFormat="false" ht="12.75" hidden="false" customHeight="true" outlineLevel="0" collapsed="false">
      <c r="L228" s="1" t="s">
        <v>377</v>
      </c>
    </row>
    <row r="229" customFormat="false" ht="12.75" hidden="false" customHeight="true" outlineLevel="0" collapsed="false">
      <c r="L229" s="1" t="s">
        <v>378</v>
      </c>
    </row>
    <row r="230" customFormat="false" ht="12.75" hidden="false" customHeight="true" outlineLevel="0" collapsed="false">
      <c r="L230" s="1" t="s">
        <v>379</v>
      </c>
    </row>
    <row r="231" customFormat="false" ht="12.75" hidden="false" customHeight="true" outlineLevel="0" collapsed="false">
      <c r="L231" s="1" t="s">
        <v>380</v>
      </c>
    </row>
    <row r="232" customFormat="false" ht="12.75" hidden="false" customHeight="true" outlineLevel="0" collapsed="false">
      <c r="L232" s="1" t="s">
        <v>381</v>
      </c>
    </row>
    <row r="233" customFormat="false" ht="12.75" hidden="false" customHeight="true" outlineLevel="0" collapsed="false">
      <c r="L233" s="1" t="s">
        <v>382</v>
      </c>
    </row>
    <row r="234" customFormat="false" ht="12.75" hidden="false" customHeight="true" outlineLevel="0" collapsed="false">
      <c r="L234" s="1" t="s">
        <v>383</v>
      </c>
    </row>
    <row r="235" customFormat="false" ht="12.75" hidden="false" customHeight="true" outlineLevel="0" collapsed="false">
      <c r="L235" s="1" t="s">
        <v>384</v>
      </c>
    </row>
    <row r="236" customFormat="false" ht="12.75" hidden="false" customHeight="true" outlineLevel="0" collapsed="false">
      <c r="L236" s="1" t="s">
        <v>385</v>
      </c>
    </row>
    <row r="237" customFormat="false" ht="12.75" hidden="false" customHeight="true" outlineLevel="0" collapsed="false">
      <c r="L237" s="1" t="s">
        <v>386</v>
      </c>
    </row>
    <row r="238" customFormat="false" ht="12.75" hidden="false" customHeight="true" outlineLevel="0" collapsed="false">
      <c r="L238" s="1" t="s">
        <v>387</v>
      </c>
    </row>
    <row r="239" customFormat="false" ht="12.75" hidden="false" customHeight="true" outlineLevel="0" collapsed="false">
      <c r="L239" s="1" t="s">
        <v>388</v>
      </c>
    </row>
    <row r="240" customFormat="false" ht="12.75" hidden="false" customHeight="true" outlineLevel="0" collapsed="false">
      <c r="L240" s="1" t="s">
        <v>389</v>
      </c>
    </row>
  </sheetData>
  <dataValidations count="2">
    <dataValidation allowBlank="false" operator="between" prompt="Sélectionnez le type de produit" showDropDown="false" showErrorMessage="true" showInputMessage="true" sqref="B12 E14 F17 B18:E18 C31:D31 D34" type="list">
      <formula1>#ref!</formula1>
      <formula2>0</formula2>
    </dataValidation>
    <dataValidation allowBlank="false" operator="between" prompt="Sélectionnez le type de produit" showDropDown="false" showErrorMessage="true" showInputMessage="true" sqref="L29:L39" type="list">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2021-07-01T13:59:19Z</dcterms:created>
  <dc:creator>openpyxl</dc:creator>
  <dc:description/>
  <dc:language>en-US</dc:language>
  <cp:lastModifiedBy/>
  <dcterms:modified xsi:type="dcterms:W3CDTF">2021-09-13T10:33:27Z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