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y order" sheetId="1" state="visible" r:id="rId1"/>
    <sheet name="Summary" sheetId="2" state="visible" r:id="rId2"/>
    <sheet name="PrivateData" sheetId="3" state="hidden" r:id="rId3"/>
    <sheet name="rotpot_order" sheetId="4" state="visible" r:id="rId4"/>
  </sheets>
  <definedNames>
    <definedName name="Airez" hidden="0" function="0" vbProcedure="0">PrivateData!$B$2:$B$4</definedName>
    <definedName name="AirezKid" hidden="0" function="0" vbProcedure="0">PrivateData!$B$19:$B$21</definedName>
    <definedName name="AirezMan" hidden="0" function="0" vbProcedure="0">PrivateData!$B$22:$B$28</definedName>
    <definedName name="AirezWoman" hidden="0" function="0" vbProcedure="0">PrivateData!$B$23:$B$27</definedName>
    <definedName name="Argia" hidden="0" function="0" vbProcedure="0">PrivateData!$D$2:$D$3</definedName>
    <definedName name="ArgiaMan" hidden="0" function="0" vbProcedure="0">PrivateData!$B$23:$B$27</definedName>
    <definedName name="ArgiaWoman" hidden="0" function="0" vbProcedure="0">PrivateData!$B$23:$B$26</definedName>
    <definedName name="Azkar" hidden="0" function="0" vbProcedure="0">PrivateData!$B$2:$B$4</definedName>
    <definedName name="AzkarKid" hidden="0" function="0" vbProcedure="0">PrivateData!$B$19:$B$21</definedName>
    <definedName name="AzkarMan" hidden="0" function="0" vbProcedure="0">PrivateData!$B$22:$B$28</definedName>
    <definedName name="AzkarWoman" hidden="0" function="0" vbProcedure="0">PrivateData!$B$23:$B$27</definedName>
    <definedName name="Azkar_LongSleeves" hidden="0" function="0" vbProcedure="0">PrivateData!$B$2:$B$4</definedName>
    <definedName name="Azkar_LongSleevesKid" hidden="0" function="0" vbProcedure="0">PrivateData!$B$19:$B$21</definedName>
    <definedName name="Azkar_LongSleevesMan" hidden="0" function="0" vbProcedure="0">PrivateData!$B$22:$B$28</definedName>
    <definedName name="Azkar_LongSleevesWoman" hidden="0" function="0" vbProcedure="0">PrivateData!$B$23:$B$27</definedName>
    <definedName name="Beach_Flag" hidden="0" function="0" vbProcedure="0">PrivateData!$D$13</definedName>
    <definedName name="Beach_FlagSublimated" hidden="0" function="0" vbProcedure="0">PrivateData!$C$32:$C$34</definedName>
    <definedName name="Cap" hidden="0" function="0" vbProcedure="0">PrivateData!$B$13:$B$14</definedName>
    <definedName name="CapFlexfit" hidden="0" function="0" vbProcedure="0">PrivateData!$D$19:$D$20</definedName>
    <definedName name="CapTrucker" hidden="0" function="0" vbProcedure="0">PrivateData!$E$19</definedName>
    <definedName name="Casual_Tee" hidden="0" function="0" vbProcedure="0">PrivateData!$B$2:$B$4</definedName>
    <definedName name="Casual_TeeKid" hidden="0" function="0" vbProcedure="0">PrivateData!$B$19:$B$21</definedName>
    <definedName name="Casual_TeeMan" hidden="0" function="0" vbProcedure="0">PrivateData!$B$22:$B$27</definedName>
    <definedName name="Casual_TeeWoman" hidden="0" function="0" vbProcedure="0">PrivateData!$B$23:$B$27</definedName>
    <definedName name="Casual_Tee_Pocket" hidden="0" function="0" vbProcedure="0">PrivateData!$B$2:$B$4</definedName>
    <definedName name="Casual_Tee_PocketKid" hidden="0" function="0" vbProcedure="0">PrivateData!$B$19:$B$21</definedName>
    <definedName name="Casual_Tee_PocketMan" hidden="0" function="0" vbProcedure="0">PrivateData!$B$22:$B$27</definedName>
    <definedName name="Casual_Tee_PocketWoman" hidden="0" function="0" vbProcedure="0">PrivateData!$B$23:$B$27</definedName>
    <definedName name="Compression_Sleeves" hidden="0" function="0" vbProcedure="0">PrivateData!$D$2:$D$3</definedName>
    <definedName name="Compression_SleevesMan" hidden="0" function="0" vbProcedure="0">PrivateData!$D$19:$D$20</definedName>
    <definedName name="Compression_SleevesWoman" hidden="0" function="0" vbProcedure="0">PrivateData!$D$19:$D$20</definedName>
    <definedName name="Compression_Top" hidden="0" function="0" vbProcedure="0">PrivateData!$B$2:$B$4</definedName>
    <definedName name="Compression_TopKid" hidden="0" function="0" vbProcedure="0">PrivateData!$B$19:$B$21</definedName>
    <definedName name="Compression_TopMan" hidden="0" function="0" vbProcedure="0">PrivateData!$B$22:$B$28</definedName>
    <definedName name="Compression_TopWoman" hidden="0" function="0" vbProcedure="0">PrivateData!$B$23:$B$27</definedName>
    <definedName name="Compression_Top_LongSleeves" hidden="0" function="0" vbProcedure="0">PrivateData!$B$2:$B$4</definedName>
    <definedName name="Compression_Top_LongSleevesKid" hidden="0" function="0" vbProcedure="0">PrivateData!$B$19:$B$21</definedName>
    <definedName name="Compression_Top_LongSleevesMan" hidden="0" function="0" vbProcedure="0">PrivateData!$B$22:$B$28</definedName>
    <definedName name="Compression_Top_LongSleevesWoman" hidden="0" function="0" vbProcedure="0">PrivateData!$B$23:$B$27</definedName>
    <definedName name="Dotoreak" hidden="0" function="0" vbProcedure="0">PrivateData!$B$2:$B$4</definedName>
    <definedName name="DotoreakKid" hidden="0" function="0" vbProcedure="0">PrivateData!$B$19:$B$21</definedName>
    <definedName name="DotoreakMan" hidden="0" function="0" vbProcedure="0">PrivateData!$B$22:$B$28</definedName>
    <definedName name="DotoreakWoman" hidden="0" function="0" vbProcedure="0">PrivateData!$B$23:$B$27</definedName>
    <definedName name="Dotoreak_LongSleeves" hidden="0" function="0" vbProcedure="0">PrivateData!$B$2:$B$4</definedName>
    <definedName name="Dotoreak_LongSleevesKid" hidden="0" function="0" vbProcedure="0">PrivateData!$B$19:$B$21</definedName>
    <definedName name="Dotoreak_LongSleevesMan" hidden="0" function="0" vbProcedure="0">PrivateData!$B$22:$B$28</definedName>
    <definedName name="Dotoreak_LongSleevesWoman" hidden="0" function="0" vbProcedure="0">PrivateData!$B$23:$B$27</definedName>
    <definedName name="Drawstring_Bag" hidden="0" function="0" vbProcedure="0">PrivateData!$C$13</definedName>
    <definedName name="Drawstring_BagSublimated" hidden="0" function="0" vbProcedure="0">PrivateData!$E$19</definedName>
    <definedName name="Erritmo" hidden="0" function="0" vbProcedure="0">PrivateData!$B$2:$B$4</definedName>
    <definedName name="ErritmoKid" hidden="0" function="0" vbProcedure="0">PrivateData!$B$19:$B$21</definedName>
    <definedName name="ErritmoMan" hidden="0" function="0" vbProcedure="0">PrivateData!$B$22:$B$28</definedName>
    <definedName name="ErritmoWoman" hidden="0" function="0" vbProcedure="0">PrivateData!$B$23:$B$27</definedName>
    <definedName name="Excel_BuiltIn__FilterDatabase" hidden="0" function="0" vbProcedure="0">'My order'!$A$29:$H$230</definedName>
    <definedName name="Fanion" hidden="0" function="0" vbProcedure="0">PrivateData!$C$13</definedName>
    <definedName name="FanionSublimated" hidden="0" function="0" vbProcedure="0">PrivateData!$E$19</definedName>
    <definedName name="Foot" hidden="0" function="0" vbProcedure="0">PrivateData!$D$32:$D$33</definedName>
    <definedName name="FootGrass" hidden="0" function="0" vbProcedure="0">PrivateData!$E$19</definedName>
    <definedName name="FootSand" hidden="0" function="0" vbProcedure="0">PrivateData!$E$19</definedName>
    <definedName name="Garland" hidden="0" function="0" vbProcedure="0">PrivateData!$D$13</definedName>
    <definedName name="GarlandSublimated" hidden="0" function="0" vbProcedure="0">PrivateData!$E$19</definedName>
    <definedName name="Gloves" hidden="0" function="0" vbProcedure="0">PrivateData!$D$2:$D$3</definedName>
    <definedName name="GlovesMan" hidden="0" function="0" vbProcedure="0">PrivateData!$B$23:$B$27</definedName>
    <definedName name="GlovesWoman" hidden="0" function="0" vbProcedure="0">PrivateData!$C$22:$C$24</definedName>
    <definedName name="Half_Leg" hidden="0" function="0" vbProcedure="0">PrivateData!$E$2:$E$3</definedName>
    <definedName name="Half_LegMan" hidden="0" function="0" vbProcedure="0">PrivateData!$B$22:$B$27</definedName>
    <definedName name="Half_LegWoman" hidden="0" function="0" vbProcedure="0">PrivateData!$B$22:$B$27</definedName>
    <definedName name="Handwarmer" hidden="0" function="0" vbProcedure="0">PrivateData!$C$13</definedName>
    <definedName name="HandwarmerSublimated" hidden="0" function="0" vbProcedure="0">PrivateData!$E$19</definedName>
    <definedName name="Headband" hidden="0" function="0" vbProcedure="0">PrivateData!$C$13</definedName>
    <definedName name="HeadbandSublimated" hidden="0" function="0" vbProcedure="0">PrivateData!$E$19</definedName>
    <definedName name="Iribazi" hidden="0" function="0" vbProcedure="0">PrivateData!$B$2:$B$4</definedName>
    <definedName name="IribaziKid" hidden="0" function="0" vbProcedure="0">PrivateData!$B$19:$B$21</definedName>
    <definedName name="IribaziMan" hidden="0" function="0" vbProcedure="0">PrivateData!$B$22:$B$28</definedName>
    <definedName name="IribaziWoman" hidden="0" function="0" vbProcedure="0">PrivateData!$B$23:$B$27</definedName>
    <definedName name="Iribazi_LongSleeves" hidden="0" function="0" vbProcedure="0">PrivateData!$B$2:$B$4</definedName>
    <definedName name="Iribazi_LongSleevesKid" hidden="0" function="0" vbProcedure="0">PrivateData!$B$19:$B$21</definedName>
    <definedName name="Iribazi_LongSleevesMan" hidden="0" function="0" vbProcedure="0">PrivateData!$B$22:$B$28</definedName>
    <definedName name="Iribazi_LongSleevesWoman" hidden="0" function="0" vbProcedure="0">PrivateData!$B$23:$B$27</definedName>
    <definedName name="Jaketa" hidden="0" function="0" vbProcedure="0">PrivateData!$B$2:$B$3</definedName>
    <definedName name="JaketaMan" hidden="0" function="0" vbProcedure="0">PrivateData!$B$23:$B$27</definedName>
    <definedName name="JaketaWoman" hidden="0" function="0" vbProcedure="0">PrivateData!$B$23:$B$26</definedName>
    <definedName name="Jauzi" hidden="0" function="0" vbProcedure="0">PrivateData!$B$2:$B$4</definedName>
    <definedName name="JauziKid" hidden="0" function="0" vbProcedure="0">PrivateData!$B$19:$B$21</definedName>
    <definedName name="JauziMan" hidden="0" function="0" vbProcedure="0">PrivateData!$B$22:$B$28</definedName>
    <definedName name="JauziWoman" hidden="0" function="0" vbProcedure="0">PrivateData!$B$23:$B$27</definedName>
    <definedName name="Kanpaia" hidden="0" function="0" vbProcedure="0">PrivateData!$D$2:$D$3</definedName>
    <definedName name="KanpaiaMan" hidden="0" function="0" vbProcedure="0">PrivateData!$B$23:$B$27</definedName>
    <definedName name="KanpaiaWoman" hidden="0" function="0" vbProcedure="0">PrivateData!$B$23:$B$26</definedName>
    <definedName name="Korrika" hidden="0" function="0" vbProcedure="0">PrivateData!$B$2:$B$4</definedName>
    <definedName name="KorrikaKid" hidden="0" function="0" vbProcedure="0">PrivateData!$B$19:$B$21</definedName>
    <definedName name="KorrikaMan" hidden="0" function="0" vbProcedure="0">PrivateData!$B$22:$B$28</definedName>
    <definedName name="KorrikaWoman" hidden="0" function="0" vbProcedure="0">PrivateData!$B$23:$B$27</definedName>
    <definedName name="Korsair" hidden="0" function="0" vbProcedure="0">PrivateData!$E$2:$E$3</definedName>
    <definedName name="KorsairMan" hidden="0" function="0" vbProcedure="0">PrivateData!$B$22:$B$27</definedName>
    <definedName name="KorsairWoman" hidden="0" function="0" vbProcedure="0">PrivateData!$B$22:$B$27</definedName>
    <definedName name="Korsair_Plus" hidden="0" function="0" vbProcedure="0">PrivateData!$D$2:$D$3</definedName>
    <definedName name="Korsair_PlusMan" hidden="0" function="0" vbProcedure="0">PrivateData!$B$22:$B$27</definedName>
    <definedName name="Korsair_PlusWoman" hidden="0" function="0" vbProcedure="0">PrivateData!$B$22:$B$27</definedName>
    <definedName name="Kuxin" hidden="0" function="0" vbProcedure="0">PrivateData!$C$13</definedName>
    <definedName name="KuxinSublimated" hidden="0" function="0" vbProcedure="0">PrivateData!$E$19</definedName>
    <definedName name="Legging" hidden="0" function="0" vbProcedure="0">PrivateData!$E$2:$E$3</definedName>
    <definedName name="LeggingMan" hidden="0" function="0" vbProcedure="0">PrivateData!$B$22:$B$27</definedName>
    <definedName name="LeggingWoman" hidden="0" function="0" vbProcedure="0">PrivateData!$B$22:$B$27</definedName>
    <definedName name="Ohiko" hidden="0" function="0" vbProcedure="0">PrivateData!$B$2:$B$4</definedName>
    <definedName name="OhikoKid" hidden="0" function="0" vbProcedure="0">PrivateData!$B$19:$B$21</definedName>
    <definedName name="OhikoMan" hidden="0" function="0" vbProcedure="0">PrivateData!$B$22:$B$28</definedName>
    <definedName name="OhikoWoman" hidden="0" function="0" vbProcedure="0">PrivateData!$B$23:$B$27</definedName>
    <definedName name="Ohiko_LongSleeves" hidden="0" function="0" vbProcedure="0">PrivateData!$B$2:$B$4</definedName>
    <definedName name="Ohiko_LongSleevesKid" hidden="0" function="0" vbProcedure="0">PrivateData!$B$19:$B$21</definedName>
    <definedName name="Ohiko_LongSleevesMan" hidden="0" function="0" vbProcedure="0">PrivateData!$B$22:$B$28</definedName>
    <definedName name="Ohiko_LongSleevesWoman" hidden="0" function="0" vbProcedure="0">PrivateData!$B$23:$B$27</definedName>
    <definedName name="PAYS" hidden="0" function="0" vbProcedure="0">PrivateData!$L$1:$L$240</definedName>
    <definedName name="Products" hidden="0" function="0" vbProcedure="0">PrivateData!$A$2:$A$54</definedName>
    <definedName name="Rectangular_Flag" hidden="0" function="0" vbProcedure="0">PrivateData!$D$13</definedName>
    <definedName name="Rectangular_FlagSublimated" hidden="0" function="0" vbProcedure="0">PrivateData!$B$32:$B$33</definedName>
    <definedName name="Reversible" hidden="0" function="0" vbProcedure="0">PrivateData!$F$2</definedName>
    <definedName name="ReversibleUnisex" hidden="0" function="0" vbProcedure="0">PrivateData!$B$19:$B$28</definedName>
    <definedName name="Short" hidden="0" function="0" vbProcedure="0">PrivateData!$C$2:$C$6</definedName>
    <definedName name="ShortBeach_Woman" hidden="0" function="0" vbProcedure="0">PrivateData!$C$22:$C$26</definedName>
    <definedName name="ShortLong" hidden="0" function="0" vbProcedure="0">PrivateData!$C$19:$C$27</definedName>
    <definedName name="ShortMultisport" hidden="0" function="0" vbProcedure="0">PrivateData!$C$19:$C$27</definedName>
    <definedName name="ShortTight_Woman" hidden="0" function="0" vbProcedure="0">PrivateData!$C$22:$C$26</definedName>
    <definedName name="ShortWoman" hidden="0" function="0" vbProcedure="0">PrivateData!$C$22:$C$26</definedName>
    <definedName name="Skirt" hidden="0" function="0" vbProcedure="0">PrivateData!$C$4</definedName>
    <definedName name="SkirtWoman" hidden="0" function="0" vbProcedure="0">PrivateData!$C$22:$C$26</definedName>
    <definedName name="Snood" hidden="0" function="0" vbProcedure="0">PrivateData!$C$13</definedName>
    <definedName name="SnoodSublimated" hidden="0" function="0" vbProcedure="0">PrivateData!$E$19</definedName>
    <definedName name="Softshell" hidden="0" function="0" vbProcedure="0">PrivateData!$B$2:$B$3</definedName>
    <definedName name="SoftshellMan" hidden="0" function="0" vbProcedure="0">PrivateData!$B$23:$B$28</definedName>
    <definedName name="SoftshellWoman" hidden="0" function="0" vbProcedure="0">PrivateData!$B$23:$B$27</definedName>
    <definedName name="Surf_Top" hidden="0" function="0" vbProcedure="0">PrivateData!$B$2:$B$4</definedName>
    <definedName name="Surf_TopKid" hidden="0" function="0" vbProcedure="0">PrivateData!$B$19:$B$21</definedName>
    <definedName name="Surf_TopMan" hidden="0" function="0" vbProcedure="0">PrivateData!$B$22:$B$28</definedName>
    <definedName name="Surf_TopWoman" hidden="0" function="0" vbProcedure="0">PrivateData!$B$23:$B$27</definedName>
    <definedName name="Tank" hidden="0" function="0" vbProcedure="0">PrivateData!$B$2:$B$4</definedName>
    <definedName name="TankKid" hidden="0" function="0" vbProcedure="0">PrivateData!$B$19:$B$21</definedName>
    <definedName name="TankMan" hidden="0" function="0" vbProcedure="0">PrivateData!$B$22:$B$28</definedName>
    <definedName name="TankWoman" hidden="0" function="0" vbProcedure="0">PrivateData!$B$23:$B$27</definedName>
    <definedName name="Thermal_Warmer" hidden="0" function="0" vbProcedure="0">PrivateData!$C$13</definedName>
    <definedName name="Thermal_WarmerSublimated" hidden="0" function="0" vbProcedure="0">PrivateData!$E$19</definedName>
    <definedName name="Towel" hidden="0" function="0" vbProcedure="0">PrivateData!$C$13</definedName>
    <definedName name="Underwear" hidden="0" function="0" vbProcedure="0">PrivateData!$E$2:$E$3</definedName>
    <definedName name="UnderwearMan" hidden="0" function="0" vbProcedure="0">PrivateData!$B$22:$B$27</definedName>
    <definedName name="UnderwearWoman" hidden="0" function="0" vbProcedure="0">PrivateData!$B$22:$B$27</definedName>
    <definedName name="Volley" hidden="0" function="0" vbProcedure="0">PrivateData!$B$2:$B$4</definedName>
    <definedName name="VolleyKid" hidden="0" function="0" vbProcedure="0">PrivateData!$B$19:$B$21</definedName>
    <definedName name="VolleyMan" hidden="0" function="0" vbProcedure="0">PrivateData!$B$22:$B$28</definedName>
    <definedName name="VolleyWoman" hidden="0" function="0" vbProcedure="0">PrivateData!$B$23:$B$27</definedName>
    <definedName name="Wristband" hidden="0" function="0" vbProcedure="0">PrivateData!$C$13</definedName>
    <definedName name="WristbandSublimated" hidden="0" function="0" vbProcedure="0">PrivateData!$E$19</definedName>
    <definedName name="Ziklo" hidden="0" function="0" vbProcedure="0">PrivateData!$B$2:$B$4</definedName>
    <definedName name="ZikloKid" hidden="0" function="0" vbProcedure="0">PrivateData!$B$19:$B$21</definedName>
    <definedName name="ZikloMan" hidden="0" function="0" vbProcedure="0">PrivateData!$B$22:$B$28</definedName>
    <definedName name="ZikloWoman" hidden="0" function="0" vbProcedure="0">PrivateData!$B$23:$B$27</definedName>
  </definedNames>
  <calcPr calcId="124519" fullCalcOnLoad="1" refMode="A1" iterate="0" iterateCount="100" iterateDelta="0.001"/>
</workbook>
</file>

<file path=xl/styles.xml><?xml version="1.0" encoding="utf-8"?>
<styleSheet xmlns="http://schemas.openxmlformats.org/spreadsheetml/2006/main">
  <numFmts count="0"/>
  <fonts count="19">
    <font>
      <name val="Arial"/>
      <charset val="1"/>
      <family val="2"/>
      <sz val="10"/>
    </font>
    <font>
      <name val="Arial"/>
      <family val="0"/>
      <sz val="10"/>
    </font>
    <font>
      <name val="Arial"/>
      <family val="0"/>
      <sz val="10"/>
    </font>
    <font>
      <name val="Arial"/>
      <family val="0"/>
      <sz val="10"/>
    </font>
    <font>
      <name val="Arial"/>
      <charset val="1"/>
      <family val="2"/>
      <b val="1"/>
      <sz val="14"/>
    </font>
    <font>
      <name val="Segoe UI"/>
      <charset val="1"/>
      <family val="2"/>
      <color rgb="FF000000"/>
      <sz val="11"/>
    </font>
    <font>
      <name val="Arial"/>
      <charset val="1"/>
      <family val="2"/>
      <b val="1"/>
      <color rgb="FFFFFFFF"/>
      <sz val="16"/>
    </font>
    <font>
      <name val="Arial"/>
      <charset val="1"/>
      <family val="2"/>
      <sz val="12"/>
    </font>
    <font>
      <name val="Segoe UI Symbol"/>
      <charset val="1"/>
      <family val="2"/>
      <sz val="10"/>
    </font>
    <font>
      <name val="Arial"/>
      <charset val="1"/>
      <family val="2"/>
      <b val="1"/>
      <color rgb="FFFFFFFF"/>
      <sz val="10"/>
    </font>
    <font>
      <name val="Arial"/>
      <charset val="1"/>
      <family val="2"/>
      <color rgb="FFFFFFFF"/>
      <sz val="10"/>
    </font>
    <font>
      <name val="Arial"/>
      <charset val="1"/>
      <family val="2"/>
      <color rgb="FF0000D4"/>
      <sz val="10"/>
      <u val="single"/>
    </font>
    <font>
      <name val="Arial"/>
      <charset val="1"/>
      <family val="2"/>
      <b val="1"/>
      <sz val="10"/>
    </font>
    <font>
      <name val="Calibri"/>
      <charset val="1"/>
      <family val="2"/>
      <color rgb="FF000000"/>
      <sz val="11"/>
    </font>
    <font>
      <name val="Open Sans"/>
      <charset val="1"/>
      <family val="2"/>
      <color rgb="FF000000"/>
      <sz val="10"/>
    </font>
    <font>
      <name val="Arial"/>
      <charset val="1"/>
      <family val="2"/>
      <color rgb="FF333399"/>
      <sz val="10"/>
    </font>
    <font>
      <name val="Arial"/>
      <charset val="1"/>
      <family val="2"/>
      <b val="1"/>
      <sz val="26"/>
    </font>
    <font>
      <name val="Arial"/>
      <charset val="1"/>
      <family val="2"/>
      <b val="1"/>
      <color rgb="FFFFFFFF"/>
      <sz val="11"/>
    </font>
    <font>
      <name val="Arial"/>
      <charset val="1"/>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4">
    <border>
      <left/>
      <right/>
      <top/>
      <bottom/>
      <diagonal/>
    </border>
    <border>
      <left/>
      <right/>
      <top/>
      <bottom style="thin"/>
      <diagonal/>
    </border>
    <border>
      <left style="thin"/>
      <right style="thin"/>
      <top style="thin"/>
      <bottom style="thin"/>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style="medium"/>
      <right style="thin"/>
      <top style="thin"/>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right style="thin"/>
      <top/>
      <bottom/>
      <diagonal/>
    </border>
    <border>
      <left/>
      <right style="thin"/>
      <top/>
      <bottom style="thin"/>
      <diagonal/>
    </border>
    <border>
      <left style="thin"/>
      <right style="thin"/>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27">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9" fillId="5" borderId="7" applyAlignment="1" pivotButton="0" quotePrefix="0" xfId="0">
      <alignment horizontal="center" vertical="center" wrapText="1"/>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12" fillId="0" borderId="0" applyAlignment="1" pivotButton="0" quotePrefix="0" xfId="0">
      <alignment horizontal="general" vertical="bottom"/>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7" fillId="3" borderId="6" applyAlignment="1" pivotButton="0" quotePrefix="0" xfId="0">
      <alignment horizontal="left" vertical="center" wrapText="1" indent="1"/>
    </xf>
    <xf numFmtId="0" fontId="0" fillId="0" borderId="0" applyAlignment="1" pivotButton="0" quotePrefix="0" xfId="0">
      <alignment horizontal="general" vertical="bottom"/>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2" applyAlignment="1" pivotButton="0" quotePrefix="0" xfId="0">
      <alignment horizontal="general" vertical="bottom"/>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0" fontId="0" fillId="0" borderId="10" applyAlignment="1" pivotButton="0" quotePrefix="0" xfId="0">
      <alignment horizontal="general" vertical="bottom"/>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9" fillId="4" borderId="2" applyAlignment="1" pivotButton="0" quotePrefix="0" xfId="0">
      <alignment horizontal="center" vertical="bottom"/>
    </xf>
    <xf numFmtId="0" fontId="0" fillId="0" borderId="14" applyAlignment="1" applyProtection="1" pivotButton="0" quotePrefix="0" xfId="0">
      <alignment horizontal="general" vertical="bottom"/>
      <protection locked="1" hidden="1"/>
    </xf>
    <xf numFmtId="0" fontId="0" fillId="0" borderId="2" applyAlignment="1" pivotButton="0" quotePrefix="0" xfId="0">
      <alignment horizontal="center" vertical="bottom"/>
    </xf>
    <xf numFmtId="0" fontId="12" fillId="5" borderId="10" applyAlignment="1" pivotButton="0" quotePrefix="0" xfId="0">
      <alignment horizontal="center" vertical="bottom"/>
    </xf>
    <xf numFmtId="0" fontId="0" fillId="0" borderId="2" applyAlignment="1" pivotButton="0" quotePrefix="0" xfId="0">
      <alignment horizontal="center" vertical="bottom"/>
    </xf>
    <xf numFmtId="0" fontId="12" fillId="0" borderId="2" applyAlignment="1" pivotButton="0" quotePrefix="0" xfId="0">
      <alignment horizontal="center" vertical="bottom"/>
    </xf>
    <xf numFmtId="0" fontId="0" fillId="0" borderId="5"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12"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pivotButton="0" quotePrefix="0" xfId="0"/>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0" borderId="3" pivotButton="0" quotePrefix="0" xfId="0"/>
    <xf numFmtId="0" fontId="0" fillId="0" borderId="15" pivotButton="0" quotePrefix="0" xfId="0"/>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0" fillId="0" borderId="4" pivotButton="0" quotePrefix="0" xfId="0"/>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0" fillId="0" borderId="16" pivotButton="0" quotePrefix="0" xfId="0"/>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6" pivotButton="0" quotePrefix="0" xfId="0"/>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0" fillId="0" borderId="19" pivotButton="0" quotePrefix="0" xfId="0"/>
    <xf numFmtId="0" fontId="0" fillId="0" borderId="20" pivotButton="0" quotePrefix="0" xfId="0"/>
    <xf numFmtId="0" fontId="12" fillId="0" borderId="0" applyAlignment="1" pivotButton="0" quotePrefix="0" xfId="0">
      <alignment horizontal="general" vertical="bottom"/>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0" fillId="0" borderId="22" pivotButton="0" quotePrefix="0" xfId="0"/>
    <xf numFmtId="0" fontId="7" fillId="3" borderId="6" applyAlignment="1" pivotButton="0" quotePrefix="0" xfId="0">
      <alignment horizontal="left" vertical="center" wrapText="1" indent="1"/>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0" fillId="0" borderId="10" applyProtection="1" pivotButton="0" quotePrefix="0" xfId="0">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0" fillId="0" borderId="14" applyAlignment="1" applyProtection="1" pivotButton="0" quotePrefix="0" xfId="0">
      <alignment horizontal="general" vertical="bottom"/>
      <protection locked="1" hidden="1"/>
    </xf>
    <xf numFmtId="0" fontId="12" fillId="5" borderId="10" applyAlignment="1" pivotButton="0" quotePrefix="0" xfId="0">
      <alignment horizontal="center" vertical="bottom"/>
    </xf>
    <xf numFmtId="0" fontId="0" fillId="0" borderId="13" applyProtection="1" pivotButton="0" quotePrefix="0" xfId="0">
      <protection locked="1" hidden="1"/>
    </xf>
    <xf numFmtId="0" fontId="12" fillId="0" borderId="2"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Excel Built-in Normal" xfId="7"/>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333399"/>
    <outlinePr summaryBelow="1" summaryRight="1"/>
    <pageSetUpPr fitToPage="1"/>
  </sheetPr>
  <dimension ref="A1:BA326"/>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G16" activeCellId="0" sqref="G16:H18"/>
    </sheetView>
  </sheetViews>
  <sheetFormatPr baseColWidth="8" defaultColWidth="9.13671875" defaultRowHeight="12.75" zeroHeight="0" outlineLevelRow="0"/>
  <cols>
    <col width="3.98" customWidth="1" style="117" min="1" max="1"/>
    <col width="38.51" customWidth="1" style="117" min="2" max="2"/>
    <col width="10.97" customWidth="1" style="117" min="3" max="3"/>
    <col width="12.26" customWidth="1" style="117" min="4" max="4"/>
    <col width="29.82" customWidth="1" style="117" min="5" max="5"/>
    <col width="12.55" customWidth="1" style="117" min="6" max="6"/>
    <col width="25.1" customWidth="1" style="117" min="7" max="7"/>
    <col width="22.54" customWidth="1" style="117" min="8" max="8"/>
    <col width="17.53" customWidth="1" style="117" min="9" max="9"/>
    <col width="29.52" customWidth="1" style="117" min="10" max="10"/>
    <col width="3.12" customWidth="1" style="117" min="11" max="11"/>
    <col width="23.95" customWidth="1" style="117" min="12" max="12"/>
    <col width="3.27" customWidth="1" style="117" min="13" max="13"/>
    <col width="2.27" customWidth="1" style="117" min="14" max="14"/>
    <col width="2.55" customWidth="1" style="117" min="15" max="15"/>
    <col width="1.98" customWidth="1" style="117" min="16" max="16"/>
    <col width="2.98" customWidth="1" style="117" min="17" max="17"/>
    <col width="3.98" customWidth="1" style="117" min="18" max="18"/>
  </cols>
  <sheetData>
    <row r="1" ht="18.75" customHeight="1" s="118">
      <c r="A1" s="119" t="n"/>
      <c r="B1" s="119" t="n"/>
      <c r="I1" s="120">
        <f>IF('My order'!H2="English","HOW TO USE THIS SHEET","MODE D'EMPLOI")</f>
        <v/>
      </c>
      <c r="L1" s="121" t="n"/>
    </row>
    <row r="2" ht="12.75" customHeight="1" s="118">
      <c r="B2" s="122" t="n"/>
      <c r="H2" s="123" t="inlineStr">
        <is>
          <t>English</t>
        </is>
      </c>
      <c r="I2" s="124" t="n"/>
    </row>
    <row r="3" ht="12.75" customHeight="1" s="118"/>
    <row r="4" ht="12.75" customHeight="1" s="118">
      <c r="I4" s="125">
        <f>IF('My order'!H2="English","1/ Choisissez le langage en cliquant sur 'English'","1/ Chose the language by clicking on 'Français'")</f>
        <v/>
      </c>
    </row>
    <row r="5" ht="15" customHeight="1" s="118">
      <c r="R5" s="126" t="n"/>
    </row>
    <row r="6" ht="12.75" customHeight="1" s="118">
      <c r="B6" s="127" t="n"/>
      <c r="I6" s="119" t="n"/>
    </row>
    <row r="7" ht="12.75" customHeight="1" s="118">
      <c r="B7" s="128" t="n"/>
      <c r="C7" s="128" t="n"/>
      <c r="D7" s="128" t="n"/>
      <c r="E7" s="128" t="n"/>
      <c r="F7" s="128" t="n"/>
      <c r="G7" s="128" t="n"/>
      <c r="H7" s="128" t="n"/>
    </row>
    <row r="8" ht="12.75" customHeight="1" s="118">
      <c r="B8" s="129">
        <f>IF('My order'!H2="English","Contact Info","Info du Contact")</f>
        <v/>
      </c>
      <c r="C8" s="130" t="n"/>
      <c r="D8" s="131" t="n"/>
      <c r="E8" s="131" t="n"/>
      <c r="F8" s="131" t="n"/>
      <c r="G8" s="131" t="n"/>
      <c r="H8" s="132" t="n"/>
    </row>
    <row r="9" ht="12.75" customHeight="1" s="118">
      <c r="B9" s="133">
        <f>IF(H2="English","First Name","Prénom")</f>
        <v/>
      </c>
      <c r="C9" s="134" t="inlineStr">
        <is>
          <t>Jonas</t>
        </is>
      </c>
      <c r="D9" s="131" t="n"/>
      <c r="E9" s="132" t="n"/>
      <c r="F9" s="133" t="inlineStr">
        <is>
          <t>Address</t>
        </is>
      </c>
      <c r="G9" s="134" t="inlineStr">
        <is>
          <t>Große Straße 8</t>
        </is>
      </c>
      <c r="H9" s="132" t="n"/>
      <c r="I9" s="125">
        <f>IF('My order'!H2="English","2/ Type in your details","2/ Remplissez vos infos de contact")</f>
        <v/>
      </c>
    </row>
    <row r="10" ht="12.75" customHeight="1" s="118">
      <c r="B10" s="133">
        <f>IF(H2="English","Last Name","Nom")</f>
        <v/>
      </c>
      <c r="C10" s="134" t="inlineStr">
        <is>
          <t>Sitzmann</t>
        </is>
      </c>
      <c r="D10" s="131" t="n"/>
      <c r="E10" s="132" t="n"/>
      <c r="F10" s="135" t="inlineStr">
        <is>
          <t>Postcode</t>
        </is>
      </c>
      <c r="G10" s="134" t="n">
        <v>38116</v>
      </c>
      <c r="H10" s="132" t="n"/>
    </row>
    <row r="11" ht="12.75" customHeight="1" s="118">
      <c r="B11" s="133">
        <f>IF(H2="English","Team Name","Nom d'équipe")</f>
        <v/>
      </c>
      <c r="C11" s="134" t="inlineStr">
        <is>
          <t>Rotpot</t>
        </is>
      </c>
      <c r="D11" s="131" t="n"/>
      <c r="E11" s="132" t="n"/>
      <c r="F11" s="135" t="inlineStr">
        <is>
          <t>City</t>
        </is>
      </c>
      <c r="G11" s="134" t="inlineStr">
        <is>
          <t>Braunschweig</t>
        </is>
      </c>
      <c r="H11" s="132" t="n"/>
    </row>
    <row r="12" ht="12.75" customHeight="1" s="118">
      <c r="B12" s="133" t="inlineStr">
        <is>
          <t>Email</t>
        </is>
      </c>
      <c r="C12" s="136" t="inlineStr">
        <is>
          <t>jonasitzmann@hotmail.de</t>
        </is>
      </c>
      <c r="D12" s="131" t="n"/>
      <c r="E12" s="132" t="n"/>
      <c r="F12" s="135" t="inlineStr">
        <is>
          <t>Country</t>
        </is>
      </c>
      <c r="G12" s="134" t="inlineStr">
        <is>
          <t>Germany</t>
        </is>
      </c>
      <c r="H12" s="132" t="n"/>
    </row>
    <row r="13" ht="12.75" customHeight="1" s="118">
      <c r="B13" s="133" t="inlineStr">
        <is>
          <t>Mobile</t>
        </is>
      </c>
      <c r="C13" s="137" t="inlineStr">
        <is>
          <t>+4915780439877</t>
        </is>
      </c>
      <c r="D13" s="131" t="n"/>
      <c r="E13" s="132" t="n"/>
      <c r="F13" s="138" t="inlineStr">
        <is>
          <t>Telephone</t>
        </is>
      </c>
      <c r="G13" s="139" t="inlineStr">
        <is>
          <t>+4915780439877</t>
        </is>
      </c>
      <c r="H13" s="132" t="n"/>
    </row>
    <row r="14" ht="12.75" customHeight="1" s="118">
      <c r="B14" s="140" t="n"/>
      <c r="C14" s="131" t="n"/>
      <c r="D14" s="131" t="n"/>
      <c r="E14" s="131" t="n"/>
      <c r="F14" s="131" t="n"/>
      <c r="G14" s="131" t="n"/>
      <c r="H14" s="131" t="n"/>
    </row>
    <row r="15" ht="12.75" customHeight="1" s="118">
      <c r="B15" s="129">
        <f>IF(H2="English","Shipping Information (if different address)","Informations d'envoi (si adresse différente)")</f>
        <v/>
      </c>
      <c r="C15" s="130" t="n"/>
      <c r="D15" s="131" t="n"/>
      <c r="E15" s="131" t="n"/>
      <c r="F15" s="131" t="n"/>
      <c r="G15" s="131" t="n"/>
      <c r="H15" s="132" t="n"/>
      <c r="I15" s="141" t="n"/>
      <c r="J15" s="141" t="n"/>
      <c r="K15" s="141" t="n"/>
    </row>
    <row r="16" ht="12.75" customHeight="1" s="118">
      <c r="B16" s="142">
        <f>IF(H2="English","First Name","Prénom")</f>
        <v/>
      </c>
      <c r="C16" s="134" t="n"/>
      <c r="D16" s="131" t="n"/>
      <c r="E16" s="132" t="n"/>
      <c r="F16" s="135" t="inlineStr">
        <is>
          <t>Address</t>
        </is>
      </c>
      <c r="G16" s="134" t="n"/>
      <c r="H16" s="132" t="n"/>
      <c r="I16" s="141" t="n"/>
      <c r="J16" s="141" t="n"/>
      <c r="K16" s="141" t="n"/>
    </row>
    <row r="17" ht="12.75" customHeight="1" s="118">
      <c r="B17" s="142">
        <f>IF(H2="English","Last Name","Nom")</f>
        <v/>
      </c>
      <c r="C17" s="134" t="n"/>
      <c r="D17" s="131" t="n"/>
      <c r="E17" s="132" t="n"/>
      <c r="F17" s="135" t="inlineStr">
        <is>
          <t>Postcode</t>
        </is>
      </c>
      <c r="G17" s="134" t="n"/>
      <c r="H17" s="132" t="n"/>
      <c r="I17" s="141" t="n"/>
      <c r="J17" s="141" t="n"/>
      <c r="K17" s="141" t="n"/>
    </row>
    <row r="18" ht="12.75" customHeight="1" s="118">
      <c r="B18" s="142" t="inlineStr">
        <is>
          <t>Telephone</t>
        </is>
      </c>
      <c r="C18" s="137" t="n"/>
      <c r="D18" s="131" t="n"/>
      <c r="E18" s="132" t="n"/>
      <c r="F18" s="135" t="inlineStr">
        <is>
          <t>City</t>
        </is>
      </c>
      <c r="G18" s="134" t="n"/>
      <c r="H18" s="132" t="n"/>
      <c r="I18" s="143">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r="19" ht="12.75" customHeight="1" s="118">
      <c r="B19" s="144" t="n"/>
      <c r="C19" s="145" t="n"/>
      <c r="D19" s="145" t="n"/>
      <c r="E19" s="145" t="n"/>
      <c r="F19" s="145" t="n"/>
      <c r="G19" s="145" t="n"/>
      <c r="H19" s="145" t="n"/>
    </row>
    <row r="20" ht="12.75" customHeight="1" s="118"/>
    <row r="21" ht="12.75" customHeight="1" s="118">
      <c r="B21" s="146">
        <f>IF(H2="English","Order Summary","Récap de la Commande")</f>
        <v/>
      </c>
      <c r="C21" s="147" t="n"/>
      <c r="D21" s="145" t="n"/>
      <c r="E21" s="148" t="n"/>
      <c r="F21" s="149" t="n"/>
    </row>
    <row r="22" ht="12.75" customHeight="1" s="118">
      <c r="B22" s="150">
        <f>IF(H2="English","Number of tops","Nombre de hauts")</f>
        <v/>
      </c>
      <c r="C22" s="134">
        <f>Summary!C37+Summary!L37+Summary!T37</f>
        <v/>
      </c>
      <c r="D22" s="131" t="n"/>
      <c r="E22" s="132" t="n"/>
      <c r="F22" s="151" t="n"/>
    </row>
    <row r="23" ht="12.75" customHeight="1" s="118">
      <c r="B23" s="150">
        <f>IF(H2="English","Number of bottoms","Nombre de bas")</f>
        <v/>
      </c>
      <c r="C23" s="134">
        <f>Summary!C48+Summary!L48</f>
        <v/>
      </c>
      <c r="D23" s="131" t="n"/>
      <c r="E23" s="132" t="n"/>
      <c r="F23" s="151" t="n"/>
    </row>
    <row r="24" ht="12.75" customHeight="1" s="118">
      <c r="B24" s="150">
        <f>IF(H2="English","Number of shorts","Nombre de shorts")</f>
        <v/>
      </c>
      <c r="C24" s="134">
        <f>Summary!C60</f>
        <v/>
      </c>
      <c r="D24" s="131" t="n"/>
      <c r="E24" s="132" t="n"/>
      <c r="F24" s="151" t="n"/>
    </row>
    <row r="25" ht="12.75" customHeight="1" s="118">
      <c r="B25" s="152">
        <f>IF(H2="English","Number of accessories &amp; flags","Nombre d'accessoires &amp; drapeaux")</f>
        <v/>
      </c>
      <c r="C25" s="153">
        <f>Summary!T60+Summary!X50</f>
        <v/>
      </c>
      <c r="D25" s="145" t="n"/>
      <c r="E25" s="148" t="n"/>
      <c r="F25" s="151" t="n"/>
    </row>
    <row r="26" ht="12.75" customHeight="1" s="118">
      <c r="B26" s="154" t="inlineStr">
        <is>
          <t>Total</t>
        </is>
      </c>
      <c r="C26" s="155">
        <f>SUM(C22:C25)</f>
        <v/>
      </c>
      <c r="D26" s="156" t="n"/>
      <c r="E26" s="157" t="n"/>
      <c r="F26" s="151" t="n"/>
    </row>
    <row r="27" ht="12.75" customHeight="1" s="118">
      <c r="A27" s="119" t="n"/>
    </row>
    <row r="28" ht="12.75" customHeight="1" s="118"/>
    <row r="29" ht="40.5" customFormat="1" customHeight="1" s="158">
      <c r="A29" s="159" t="inlineStr">
        <is>
          <t>No</t>
        </is>
      </c>
      <c r="B29" s="159">
        <f>IF(H2="English","Product","Produit")</f>
        <v/>
      </c>
      <c r="C29" s="159">
        <f>IF(H2="English","Gender / Type","Sexe / Type")</f>
        <v/>
      </c>
      <c r="D29" s="159">
        <f>IF(H2="English","Size","Taille")</f>
        <v/>
      </c>
      <c r="E29" s="159">
        <f>IF(H2="English","Name to be printed","Nom à imprimer")</f>
        <v/>
      </c>
      <c r="F29" s="159">
        <f>IF(H2="English","Number to be printed","Numéro à imprimer")</f>
        <v/>
      </c>
      <c r="G29" s="159">
        <f>IF(H2="English","Special Requests","Demandes particulières")</f>
        <v/>
      </c>
      <c r="H29" s="157" t="n"/>
      <c r="I29" s="160" t="n"/>
      <c r="L29" s="117" t="n"/>
      <c r="M29" s="117" t="n"/>
      <c r="N29" s="117" t="n"/>
      <c r="O29" s="117" t="n"/>
      <c r="P29" s="117" t="n"/>
      <c r="Q29" s="117" t="n"/>
      <c r="R29" s="117" t="n"/>
      <c r="S29" s="117" t="n"/>
      <c r="T29" s="117" t="n"/>
      <c r="U29" s="117" t="n"/>
      <c r="V29" s="117" t="n"/>
      <c r="W29" s="117" t="n"/>
      <c r="X29" s="117" t="n"/>
      <c r="Y29" s="117" t="n"/>
      <c r="Z29" s="117" t="n"/>
      <c r="AA29" s="117" t="n"/>
      <c r="AB29" s="117" t="n"/>
      <c r="AC29" s="117" t="n"/>
      <c r="AD29" s="117" t="n"/>
      <c r="AE29" s="117" t="n"/>
      <c r="AF29" s="117" t="n"/>
      <c r="AG29" s="117" t="n"/>
      <c r="AH29" s="117" t="n"/>
      <c r="AI29" s="117" t="n"/>
      <c r="AJ29" s="117" t="n"/>
      <c r="AK29" s="117" t="n"/>
      <c r="AL29" s="117" t="n"/>
      <c r="AM29" s="117" t="n"/>
      <c r="AN29" s="117" t="n"/>
      <c r="AO29" s="117" t="n"/>
      <c r="AP29" s="117" t="n"/>
      <c r="AQ29" s="117" t="n"/>
      <c r="AR29" s="117" t="n"/>
      <c r="AS29" s="117" t="n"/>
      <c r="AT29" s="117" t="n"/>
      <c r="AU29" s="117" t="n"/>
      <c r="AV29" s="117" t="n"/>
      <c r="AW29" s="117" t="n"/>
      <c r="AX29" s="117" t="n"/>
      <c r="AY29" s="117" t="n"/>
      <c r="AZ29" s="117" t="n"/>
      <c r="BA29" s="117" t="n"/>
    </row>
    <row r="30" ht="12" customFormat="1" customHeight="1" s="117">
      <c r="A30" s="161" t="n">
        <v>1</v>
      </c>
      <c r="B30" s="162" t="n"/>
      <c r="C30" s="162" t="n"/>
      <c r="D30" s="163" t="n"/>
      <c r="E30" s="164" t="n"/>
      <c r="F30" s="165" t="n"/>
      <c r="G30" s="166" t="n"/>
      <c r="H30" s="167" t="n"/>
      <c r="I30" s="168">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c r="L30" s="117" t="n"/>
      <c r="M30" s="117" t="n"/>
      <c r="N30" s="117" t="n"/>
      <c r="O30" s="117" t="n"/>
      <c r="P30" s="117" t="n"/>
      <c r="Q30" s="117" t="n"/>
      <c r="R30" s="117" t="n"/>
      <c r="S30" s="117" t="n"/>
      <c r="T30" s="117" t="n"/>
      <c r="U30" s="117" t="n"/>
      <c r="V30" s="117" t="n"/>
      <c r="W30" s="117" t="n"/>
      <c r="X30" s="117" t="n"/>
      <c r="Y30" s="117" t="n"/>
      <c r="Z30" s="117" t="n"/>
      <c r="AA30" s="117" t="n"/>
      <c r="AB30" s="117" t="n"/>
      <c r="AC30" s="117" t="n"/>
      <c r="AD30" s="117" t="n"/>
      <c r="AE30" s="117" t="n"/>
      <c r="AF30" s="117" t="n"/>
      <c r="AG30" s="117" t="n"/>
      <c r="AH30" s="117" t="n"/>
      <c r="AI30" s="117" t="n"/>
      <c r="AJ30" s="117" t="n"/>
      <c r="AK30" s="117" t="n"/>
      <c r="AL30" s="117" t="n"/>
      <c r="AM30" s="117" t="n"/>
      <c r="AN30" s="117" t="n"/>
      <c r="AO30" s="117" t="n"/>
      <c r="AP30" s="117" t="n"/>
      <c r="AQ30" s="117" t="n"/>
      <c r="AR30" s="117" t="n"/>
      <c r="AS30" s="117" t="n"/>
      <c r="AT30" s="117" t="n"/>
      <c r="AU30" s="117" t="n"/>
      <c r="AV30" s="117" t="n"/>
      <c r="AW30" s="117" t="n"/>
      <c r="AX30" s="117" t="n"/>
      <c r="AY30" s="117" t="n"/>
      <c r="AZ30" s="117" t="n"/>
      <c r="BA30" s="117" t="n"/>
    </row>
    <row r="31" ht="12" customFormat="1" customHeight="1" s="117">
      <c r="A31" s="169" t="n">
        <v>2</v>
      </c>
      <c r="B31" s="162" t="n"/>
      <c r="C31" s="162" t="n"/>
      <c r="D31" s="170" t="n"/>
      <c r="E31" s="171" t="n"/>
      <c r="F31" s="172" t="n"/>
      <c r="G31" s="173" t="n"/>
      <c r="H31" s="132" t="n"/>
      <c r="I31" s="151" t="n"/>
      <c r="L31" s="117" t="n"/>
      <c r="M31" s="117" t="n"/>
      <c r="N31" s="117" t="n"/>
      <c r="O31" s="117" t="n"/>
      <c r="P31" s="117" t="n"/>
      <c r="Q31" s="117" t="n"/>
      <c r="R31" s="117" t="n"/>
      <c r="S31" s="117" t="n"/>
      <c r="T31" s="117" t="n"/>
      <c r="U31" s="117" t="n"/>
      <c r="V31" s="117" t="n"/>
      <c r="W31" s="117" t="n"/>
      <c r="X31" s="117" t="n"/>
      <c r="Y31" s="117" t="n"/>
      <c r="Z31" s="117" t="n"/>
      <c r="AA31" s="117" t="n"/>
      <c r="AB31" s="117" t="n"/>
      <c r="AC31" s="117" t="n"/>
      <c r="AD31" s="117" t="n"/>
      <c r="AE31" s="117" t="n"/>
      <c r="AF31" s="117" t="n"/>
      <c r="AG31" s="117" t="n"/>
      <c r="AH31" s="117" t="n"/>
      <c r="AI31" s="117" t="n"/>
      <c r="AJ31" s="117" t="n"/>
      <c r="AK31" s="117" t="n"/>
      <c r="AL31" s="117" t="n"/>
      <c r="AM31" s="117" t="n"/>
      <c r="AN31" s="117" t="n"/>
      <c r="AO31" s="117" t="n"/>
      <c r="AP31" s="117" t="n"/>
      <c r="AQ31" s="117" t="n"/>
      <c r="AR31" s="117" t="n"/>
      <c r="AS31" s="117" t="n"/>
      <c r="AT31" s="117" t="n"/>
      <c r="AU31" s="117" t="n"/>
      <c r="AV31" s="117" t="n"/>
      <c r="AW31" s="117" t="n"/>
      <c r="AX31" s="117" t="n"/>
      <c r="AY31" s="117" t="n"/>
      <c r="AZ31" s="117" t="n"/>
      <c r="BA31" s="117" t="n"/>
    </row>
    <row r="32" ht="12" customFormat="1" customHeight="1" s="117">
      <c r="A32" s="169" t="n">
        <v>3</v>
      </c>
      <c r="B32" s="162" t="n"/>
      <c r="C32" s="162" t="n"/>
      <c r="D32" s="170" t="n"/>
      <c r="E32" s="171" t="n"/>
      <c r="F32" s="172" t="n"/>
      <c r="G32" s="173" t="n"/>
      <c r="H32" s="132" t="n"/>
      <c r="I32" s="151" t="n"/>
      <c r="L32" s="117" t="n"/>
      <c r="M32" s="117" t="n"/>
      <c r="N32" s="117" t="n"/>
      <c r="O32" s="117" t="n"/>
      <c r="P32" s="117" t="n"/>
      <c r="Q32" s="117" t="n"/>
      <c r="R32" s="117" t="n"/>
      <c r="S32" s="117" t="n"/>
      <c r="T32" s="117" t="n"/>
      <c r="U32" s="117" t="n"/>
      <c r="V32" s="117" t="n"/>
      <c r="W32" s="117" t="n"/>
      <c r="X32" s="117" t="n"/>
      <c r="Y32" s="117" t="n"/>
      <c r="Z32" s="117" t="n"/>
      <c r="AA32" s="117" t="n"/>
      <c r="AB32" s="117" t="n"/>
      <c r="AC32" s="117" t="n"/>
      <c r="AD32" s="117" t="n"/>
      <c r="AE32" s="117" t="n"/>
      <c r="AF32" s="117" t="n"/>
      <c r="AG32" s="117" t="n"/>
      <c r="AH32" s="117" t="n"/>
      <c r="AI32" s="117" t="n"/>
      <c r="AJ32" s="117" t="n"/>
      <c r="AK32" s="117" t="n"/>
      <c r="AL32" s="117" t="n"/>
      <c r="AM32" s="117" t="n"/>
      <c r="AN32" s="117" t="n"/>
      <c r="AO32" s="117" t="n"/>
      <c r="AP32" s="117" t="n"/>
      <c r="AQ32" s="117" t="n"/>
      <c r="AR32" s="117" t="n"/>
      <c r="AS32" s="117" t="n"/>
      <c r="AT32" s="117" t="n"/>
      <c r="AU32" s="117" t="n"/>
      <c r="AV32" s="117" t="n"/>
      <c r="AW32" s="117" t="n"/>
      <c r="AX32" s="117" t="n"/>
      <c r="AY32" s="117" t="n"/>
      <c r="AZ32" s="117" t="n"/>
      <c r="BA32" s="117" t="n"/>
    </row>
    <row r="33" ht="12" customFormat="1" customHeight="1" s="117">
      <c r="A33" s="169" t="n">
        <v>4</v>
      </c>
      <c r="B33" s="162" t="n"/>
      <c r="C33" s="162" t="n"/>
      <c r="D33" s="170" t="n"/>
      <c r="E33" s="171" t="n"/>
      <c r="F33" s="172" t="n"/>
      <c r="G33" s="173" t="n"/>
      <c r="H33" s="132" t="n"/>
      <c r="I33" s="151" t="n"/>
      <c r="L33" s="117" t="n"/>
      <c r="M33" s="117" t="n"/>
      <c r="N33" s="117" t="n"/>
      <c r="O33" s="117" t="n"/>
      <c r="P33" s="117" t="n"/>
      <c r="Q33" s="117" t="n"/>
      <c r="R33" s="117" t="n"/>
      <c r="S33" s="117" t="n"/>
      <c r="T33" s="117" t="n"/>
      <c r="U33" s="117" t="n"/>
      <c r="V33" s="117" t="n"/>
      <c r="W33" s="117" t="n"/>
      <c r="X33" s="117" t="n"/>
      <c r="Y33" s="117" t="n"/>
      <c r="Z33" s="117" t="n"/>
      <c r="AA33" s="117" t="n"/>
      <c r="AB33" s="117" t="n"/>
      <c r="AC33" s="117" t="n"/>
      <c r="AD33" s="117" t="n"/>
      <c r="AE33" s="117" t="n"/>
      <c r="AF33" s="117" t="n"/>
      <c r="AG33" s="117" t="n"/>
      <c r="AH33" s="117" t="n"/>
      <c r="AI33" s="117" t="n"/>
      <c r="AJ33" s="117" t="n"/>
      <c r="AK33" s="117" t="n"/>
      <c r="AL33" s="117" t="n"/>
      <c r="AM33" s="117" t="n"/>
      <c r="AN33" s="117" t="n"/>
      <c r="AO33" s="117" t="n"/>
      <c r="AP33" s="117" t="n"/>
      <c r="AQ33" s="117" t="n"/>
      <c r="AR33" s="117" t="n"/>
      <c r="AS33" s="117" t="n"/>
      <c r="AT33" s="117" t="n"/>
      <c r="AU33" s="117" t="n"/>
      <c r="AV33" s="117" t="n"/>
      <c r="AW33" s="117" t="n"/>
      <c r="AX33" s="117" t="n"/>
      <c r="AY33" s="117" t="n"/>
      <c r="AZ33" s="117" t="n"/>
      <c r="BA33" s="117" t="n"/>
    </row>
    <row r="34" ht="12" customFormat="1" customHeight="1" s="117">
      <c r="A34" s="169" t="n">
        <v>5</v>
      </c>
      <c r="B34" s="162" t="n"/>
      <c r="C34" s="162" t="n"/>
      <c r="D34" s="170" t="n"/>
      <c r="E34" s="171" t="n"/>
      <c r="F34" s="172" t="n"/>
      <c r="G34" s="173" t="n"/>
      <c r="H34" s="132" t="n"/>
      <c r="I34" s="151" t="n"/>
      <c r="L34" s="117" t="n"/>
      <c r="M34" s="117" t="n"/>
      <c r="N34" s="117" t="n"/>
      <c r="O34" s="117" t="n"/>
      <c r="P34" s="117" t="n"/>
      <c r="Q34" s="117" t="n"/>
      <c r="R34" s="117" t="n"/>
      <c r="S34" s="117" t="n"/>
      <c r="T34" s="117" t="n"/>
      <c r="U34" s="117" t="n"/>
      <c r="V34" s="117" t="n"/>
      <c r="W34" s="117" t="n"/>
      <c r="X34" s="117" t="n"/>
      <c r="Y34" s="117" t="n"/>
      <c r="Z34" s="117" t="n"/>
      <c r="AA34" s="117" t="n"/>
      <c r="AB34" s="117" t="n"/>
      <c r="AC34" s="117" t="n"/>
      <c r="AD34" s="117" t="n"/>
      <c r="AE34" s="117" t="n"/>
      <c r="AF34" s="117" t="n"/>
      <c r="AG34" s="117" t="n"/>
      <c r="AH34" s="117" t="n"/>
      <c r="AI34" s="117" t="n"/>
      <c r="AJ34" s="117" t="n"/>
      <c r="AK34" s="117" t="n"/>
      <c r="AL34" s="117" t="n"/>
      <c r="AM34" s="117" t="n"/>
      <c r="AN34" s="117" t="n"/>
      <c r="AO34" s="117" t="n"/>
      <c r="AP34" s="117" t="n"/>
      <c r="AQ34" s="117" t="n"/>
      <c r="AR34" s="117" t="n"/>
      <c r="AS34" s="117" t="n"/>
      <c r="AT34" s="117" t="n"/>
      <c r="AU34" s="117" t="n"/>
      <c r="AV34" s="117" t="n"/>
      <c r="AW34" s="117" t="n"/>
      <c r="AX34" s="117" t="n"/>
      <c r="AY34" s="117" t="n"/>
      <c r="AZ34" s="117" t="n"/>
      <c r="BA34" s="117" t="n"/>
    </row>
    <row r="35" ht="12" customFormat="1" customHeight="1" s="117">
      <c r="A35" s="169" t="n">
        <v>6</v>
      </c>
      <c r="B35" s="162" t="n"/>
      <c r="C35" s="162" t="n"/>
      <c r="D35" s="170" t="n"/>
      <c r="E35" s="171" t="n"/>
      <c r="F35" s="172" t="n"/>
      <c r="G35" s="173" t="n"/>
      <c r="H35" s="132" t="n"/>
      <c r="I35" s="151" t="n"/>
      <c r="L35" s="117" t="n"/>
      <c r="M35" s="117" t="n"/>
      <c r="N35" s="117" t="n"/>
      <c r="O35" s="117" t="n"/>
      <c r="P35" s="117" t="n"/>
      <c r="Q35" s="117" t="n"/>
      <c r="R35" s="117" t="n"/>
      <c r="S35" s="117" t="n"/>
      <c r="T35" s="117" t="n"/>
      <c r="U35" s="117" t="n"/>
      <c r="V35" s="117" t="n"/>
      <c r="W35" s="117" t="n"/>
      <c r="X35" s="117" t="n"/>
      <c r="Y35" s="117" t="n"/>
      <c r="Z35" s="117" t="n"/>
      <c r="AA35" s="117" t="n"/>
      <c r="AB35" s="117" t="n"/>
      <c r="AC35" s="117" t="n"/>
      <c r="AD35" s="117" t="n"/>
      <c r="AE35" s="117" t="n"/>
      <c r="AF35" s="117" t="n"/>
      <c r="AG35" s="117" t="n"/>
      <c r="AH35" s="117" t="n"/>
      <c r="AI35" s="117" t="n"/>
      <c r="AJ35" s="117" t="n"/>
      <c r="AK35" s="117" t="n"/>
      <c r="AL35" s="117" t="n"/>
      <c r="AM35" s="117" t="n"/>
      <c r="AN35" s="117" t="n"/>
      <c r="AO35" s="117" t="n"/>
      <c r="AP35" s="117" t="n"/>
      <c r="AQ35" s="117" t="n"/>
      <c r="AR35" s="117" t="n"/>
      <c r="AS35" s="117" t="n"/>
      <c r="AT35" s="117" t="n"/>
      <c r="AU35" s="117" t="n"/>
      <c r="AV35" s="117" t="n"/>
      <c r="AW35" s="117" t="n"/>
      <c r="AX35" s="117" t="n"/>
      <c r="AY35" s="117" t="n"/>
      <c r="AZ35" s="117" t="n"/>
      <c r="BA35" s="117" t="n"/>
    </row>
    <row r="36" ht="12" customFormat="1" customHeight="1" s="117">
      <c r="A36" s="169" t="n">
        <v>7</v>
      </c>
      <c r="B36" s="162" t="n"/>
      <c r="C36" s="162" t="n"/>
      <c r="D36" s="170" t="n"/>
      <c r="E36" s="171" t="n"/>
      <c r="F36" s="172" t="n"/>
      <c r="G36" s="173" t="n"/>
      <c r="H36" s="132" t="n"/>
      <c r="I36" s="151" t="n"/>
      <c r="L36" s="117" t="n"/>
      <c r="M36" s="117" t="n"/>
      <c r="N36" s="117" t="n"/>
      <c r="O36" s="117" t="n"/>
      <c r="P36" s="117" t="n"/>
      <c r="Q36" s="117" t="n"/>
      <c r="R36" s="117" t="n"/>
      <c r="S36" s="117" t="n"/>
      <c r="T36" s="117" t="n"/>
      <c r="U36" s="117" t="n"/>
      <c r="V36" s="117" t="n"/>
      <c r="W36" s="117" t="n"/>
      <c r="X36" s="117" t="n"/>
      <c r="Y36" s="117" t="n"/>
      <c r="Z36" s="117" t="n"/>
      <c r="AA36" s="117" t="n"/>
      <c r="AB36" s="117" t="n"/>
      <c r="AC36" s="117" t="n"/>
      <c r="AD36" s="117" t="n"/>
      <c r="AE36" s="117" t="n"/>
      <c r="AF36" s="117" t="n"/>
      <c r="AG36" s="117" t="n"/>
      <c r="AH36" s="117" t="n"/>
      <c r="AI36" s="117" t="n"/>
      <c r="AJ36" s="117" t="n"/>
      <c r="AK36" s="117" t="n"/>
      <c r="AL36" s="117" t="n"/>
      <c r="AM36" s="117" t="n"/>
      <c r="AN36" s="117" t="n"/>
      <c r="AO36" s="117" t="n"/>
      <c r="AP36" s="117" t="n"/>
      <c r="AQ36" s="117" t="n"/>
      <c r="AR36" s="117" t="n"/>
      <c r="AS36" s="117" t="n"/>
      <c r="AT36" s="117" t="n"/>
      <c r="AU36" s="117" t="n"/>
      <c r="AV36" s="117" t="n"/>
      <c r="AW36" s="117" t="n"/>
      <c r="AX36" s="117" t="n"/>
      <c r="AY36" s="117" t="n"/>
      <c r="AZ36" s="117" t="n"/>
      <c r="BA36" s="117" t="n"/>
    </row>
    <row r="37" ht="12" customFormat="1" customHeight="1" s="117">
      <c r="A37" s="169" t="n">
        <v>8</v>
      </c>
      <c r="B37" s="162" t="n"/>
      <c r="C37" s="162" t="n"/>
      <c r="D37" s="170" t="n"/>
      <c r="E37" s="171" t="n"/>
      <c r="F37" s="172" t="n"/>
      <c r="G37" s="173" t="n"/>
      <c r="H37" s="132" t="n"/>
      <c r="I37" s="174" t="n"/>
      <c r="L37" s="117" t="n"/>
      <c r="M37" s="117" t="n"/>
      <c r="N37" s="117" t="n"/>
      <c r="O37" s="117" t="n"/>
      <c r="P37" s="117" t="n"/>
      <c r="Q37" s="117" t="n"/>
      <c r="R37" s="117" t="n"/>
      <c r="S37" s="117" t="n"/>
      <c r="T37" s="117" t="n"/>
      <c r="U37" s="117" t="n"/>
      <c r="V37" s="117" t="n"/>
      <c r="W37" s="117" t="n"/>
      <c r="X37" s="117" t="n"/>
      <c r="Y37" s="117" t="n"/>
      <c r="Z37" s="117" t="n"/>
      <c r="AA37" s="117" t="n"/>
      <c r="AB37" s="117" t="n"/>
      <c r="AC37" s="117" t="n"/>
      <c r="AD37" s="117" t="n"/>
      <c r="AE37" s="117" t="n"/>
      <c r="AF37" s="117" t="n"/>
      <c r="AG37" s="117" t="n"/>
      <c r="AH37" s="117" t="n"/>
      <c r="AI37" s="117" t="n"/>
      <c r="AJ37" s="117" t="n"/>
      <c r="AK37" s="117" t="n"/>
      <c r="AL37" s="117" t="n"/>
      <c r="AM37" s="117" t="n"/>
      <c r="AN37" s="117" t="n"/>
      <c r="AO37" s="117" t="n"/>
      <c r="AP37" s="117" t="n"/>
      <c r="AQ37" s="117" t="n"/>
      <c r="AR37" s="117" t="n"/>
      <c r="AS37" s="117" t="n"/>
      <c r="AT37" s="117" t="n"/>
      <c r="AU37" s="117" t="n"/>
      <c r="AV37" s="117" t="n"/>
      <c r="AW37" s="117" t="n"/>
      <c r="AX37" s="117" t="n"/>
      <c r="AY37" s="117" t="n"/>
      <c r="AZ37" s="117" t="n"/>
      <c r="BA37" s="117" t="n"/>
    </row>
    <row r="38" ht="12" customFormat="1" customHeight="1" s="117">
      <c r="A38" s="169" t="n">
        <v>9</v>
      </c>
      <c r="B38" s="162" t="n"/>
      <c r="C38" s="162" t="n"/>
      <c r="D38" s="170" t="n"/>
      <c r="E38" s="171" t="n"/>
      <c r="F38" s="172" t="n"/>
      <c r="G38" s="173" t="n"/>
      <c r="H38" s="132" t="n"/>
      <c r="I38" s="168">
        <f>IF(H2="English","Type in the details for the other columns (Name, Number, Requests)","Tapez ensuite les détails des autres colonnes (Nom, Numéro, Demandes)")</f>
        <v/>
      </c>
      <c r="L38" s="117" t="n"/>
      <c r="M38" s="117" t="n"/>
      <c r="N38" s="117" t="n"/>
      <c r="O38" s="117" t="n"/>
      <c r="P38" s="117" t="n"/>
      <c r="Q38" s="117" t="n"/>
      <c r="R38" s="117" t="n"/>
      <c r="S38" s="117" t="n"/>
      <c r="T38" s="117" t="n"/>
      <c r="U38" s="117" t="n"/>
      <c r="V38" s="117" t="n"/>
      <c r="W38" s="117" t="n"/>
      <c r="X38" s="117" t="n"/>
      <c r="Y38" s="117" t="n"/>
      <c r="Z38" s="117" t="n"/>
      <c r="AA38" s="117" t="n"/>
      <c r="AB38" s="117" t="n"/>
      <c r="AC38" s="117" t="n"/>
      <c r="AD38" s="117" t="n"/>
      <c r="AE38" s="117" t="n"/>
      <c r="AF38" s="117" t="n"/>
      <c r="AG38" s="117" t="n"/>
      <c r="AH38" s="117" t="n"/>
      <c r="AI38" s="117" t="n"/>
      <c r="AJ38" s="117" t="n"/>
      <c r="AK38" s="117" t="n"/>
      <c r="AL38" s="117" t="n"/>
      <c r="AM38" s="117" t="n"/>
      <c r="AN38" s="117" t="n"/>
      <c r="AO38" s="117" t="n"/>
      <c r="AP38" s="117" t="n"/>
      <c r="AQ38" s="117" t="n"/>
      <c r="AR38" s="117" t="n"/>
      <c r="AS38" s="117" t="n"/>
      <c r="AT38" s="117" t="n"/>
      <c r="AU38" s="117" t="n"/>
      <c r="AV38" s="117" t="n"/>
      <c r="AW38" s="117" t="n"/>
      <c r="AX38" s="117" t="n"/>
      <c r="AY38" s="117" t="n"/>
      <c r="AZ38" s="117" t="n"/>
      <c r="BA38" s="117" t="n"/>
    </row>
    <row r="39" ht="12" customFormat="1" customHeight="1" s="117">
      <c r="A39" s="169" t="n">
        <v>10</v>
      </c>
      <c r="B39" s="162" t="n"/>
      <c r="C39" s="162" t="n"/>
      <c r="D39" s="170" t="n"/>
      <c r="E39" s="171" t="n"/>
      <c r="F39" s="172" t="n"/>
      <c r="G39" s="173" t="n"/>
      <c r="H39" s="132" t="n"/>
      <c r="I39" s="151" t="n"/>
      <c r="L39" s="117" t="n"/>
      <c r="M39" s="117" t="n"/>
      <c r="N39" s="117" t="n"/>
      <c r="O39" s="117" t="n"/>
      <c r="P39" s="117" t="n"/>
      <c r="Q39" s="117" t="n"/>
      <c r="R39" s="117" t="n"/>
      <c r="S39" s="117" t="n"/>
      <c r="T39" s="117" t="n"/>
      <c r="U39" s="117" t="n"/>
      <c r="V39" s="117" t="n"/>
      <c r="W39" s="117" t="n"/>
      <c r="X39" s="117" t="n"/>
      <c r="Y39" s="117" t="n"/>
      <c r="Z39" s="117" t="n"/>
      <c r="AA39" s="117" t="n"/>
      <c r="AB39" s="117" t="n"/>
      <c r="AC39" s="117" t="n"/>
      <c r="AD39" s="117" t="n"/>
      <c r="AE39" s="117" t="n"/>
      <c r="AF39" s="117" t="n"/>
      <c r="AG39" s="117" t="n"/>
      <c r="AH39" s="117" t="n"/>
      <c r="AI39" s="117" t="n"/>
      <c r="AJ39" s="117" t="n"/>
      <c r="AK39" s="117" t="n"/>
      <c r="AL39" s="117" t="n"/>
      <c r="AM39" s="117" t="n"/>
      <c r="AN39" s="117" t="n"/>
      <c r="AO39" s="117" t="n"/>
      <c r="AP39" s="117" t="n"/>
      <c r="AQ39" s="117" t="n"/>
      <c r="AR39" s="117" t="n"/>
      <c r="AS39" s="117" t="n"/>
      <c r="AT39" s="117" t="n"/>
      <c r="AU39" s="117" t="n"/>
      <c r="AV39" s="117" t="n"/>
      <c r="AW39" s="117" t="n"/>
      <c r="AX39" s="117" t="n"/>
      <c r="AY39" s="117" t="n"/>
      <c r="AZ39" s="117" t="n"/>
      <c r="BA39" s="117" t="n"/>
    </row>
    <row r="40" ht="12" customFormat="1" customHeight="1" s="117">
      <c r="A40" s="169" t="n">
        <v>11</v>
      </c>
      <c r="B40" s="162" t="n"/>
      <c r="C40" s="162" t="n"/>
      <c r="D40" s="170" t="n"/>
      <c r="E40" s="171" t="n"/>
      <c r="F40" s="172" t="n"/>
      <c r="G40" s="173" t="n"/>
      <c r="H40" s="132" t="n"/>
      <c r="I40" s="151" t="n"/>
      <c r="L40" s="117" t="n"/>
      <c r="M40" s="117" t="n"/>
      <c r="N40" s="117" t="n"/>
      <c r="O40" s="117" t="n"/>
      <c r="P40" s="117" t="n"/>
      <c r="Q40" s="117" t="n"/>
      <c r="R40" s="117" t="n"/>
      <c r="S40" s="117" t="n"/>
      <c r="T40" s="117" t="n"/>
      <c r="U40" s="117" t="n"/>
      <c r="V40" s="117" t="n"/>
      <c r="W40" s="117" t="n"/>
      <c r="X40" s="117" t="n"/>
      <c r="Y40" s="117" t="n"/>
      <c r="Z40" s="117" t="n"/>
      <c r="AA40" s="117" t="n"/>
      <c r="AB40" s="117" t="n"/>
      <c r="AC40" s="117" t="n"/>
      <c r="AD40" s="117" t="n"/>
      <c r="AE40" s="117" t="n"/>
      <c r="AF40" s="117" t="n"/>
      <c r="AG40" s="117" t="n"/>
      <c r="AH40" s="117" t="n"/>
      <c r="AI40" s="117" t="n"/>
      <c r="AJ40" s="117" t="n"/>
      <c r="AK40" s="117" t="n"/>
      <c r="AL40" s="117" t="n"/>
      <c r="AM40" s="117" t="n"/>
      <c r="AN40" s="117" t="n"/>
      <c r="AO40" s="117" t="n"/>
      <c r="AP40" s="117" t="n"/>
      <c r="AQ40" s="117" t="n"/>
      <c r="AR40" s="117" t="n"/>
      <c r="AS40" s="117" t="n"/>
      <c r="AT40" s="117" t="n"/>
      <c r="AU40" s="117" t="n"/>
      <c r="AV40" s="117" t="n"/>
      <c r="AW40" s="117" t="n"/>
      <c r="AX40" s="117" t="n"/>
      <c r="AY40" s="117" t="n"/>
      <c r="AZ40" s="117" t="n"/>
      <c r="BA40" s="117" t="n"/>
    </row>
    <row r="41" ht="12" customHeight="1" s="118">
      <c r="A41" s="169" t="n">
        <v>12</v>
      </c>
      <c r="B41" s="162" t="n"/>
      <c r="C41" s="150" t="n"/>
      <c r="D41" s="170" t="n"/>
      <c r="E41" s="171" t="n"/>
      <c r="F41" s="172" t="n"/>
      <c r="G41" s="173" t="n"/>
      <c r="H41" s="132" t="n"/>
      <c r="I41" s="175" t="n"/>
    </row>
    <row r="42" ht="12" customHeight="1" s="118">
      <c r="A42" s="169" t="n">
        <v>13</v>
      </c>
      <c r="B42" s="162" t="n"/>
      <c r="C42" s="150" t="n"/>
      <c r="D42" s="170" t="n"/>
      <c r="E42" s="171" t="n"/>
      <c r="F42" s="172" t="n"/>
      <c r="G42" s="173" t="n"/>
      <c r="H42" s="132" t="n"/>
      <c r="I42" s="151" t="n"/>
    </row>
    <row r="43" ht="12" customHeight="1" s="118">
      <c r="A43" s="169" t="n">
        <v>14</v>
      </c>
      <c r="B43" s="162" t="n"/>
      <c r="C43" s="150" t="n"/>
      <c r="D43" s="170" t="n"/>
      <c r="E43" s="171" t="n"/>
      <c r="F43" s="172" t="n"/>
      <c r="G43" s="173" t="n"/>
      <c r="H43" s="132" t="n"/>
      <c r="I43" s="151" t="n"/>
    </row>
    <row r="44" ht="12" customHeight="1" s="118">
      <c r="A44" s="169" t="n">
        <v>15</v>
      </c>
      <c r="B44" s="162" t="n"/>
      <c r="C44" s="150" t="n"/>
      <c r="D44" s="170" t="n"/>
      <c r="E44" s="171" t="n"/>
      <c r="F44" s="172" t="n"/>
      <c r="G44" s="173" t="n"/>
      <c r="H44" s="132" t="n"/>
      <c r="I44" s="151" t="n"/>
    </row>
    <row r="45" ht="12" customHeight="1" s="118">
      <c r="A45" s="169" t="n">
        <v>16</v>
      </c>
      <c r="B45" s="162" t="n"/>
      <c r="C45" s="150" t="n"/>
      <c r="D45" s="170" t="n"/>
      <c r="E45" s="171" t="n"/>
      <c r="F45" s="172" t="n"/>
      <c r="G45" s="173" t="n"/>
      <c r="H45" s="132" t="n"/>
      <c r="I45" s="151" t="n"/>
    </row>
    <row r="46" ht="12" customHeight="1" s="118">
      <c r="A46" s="169" t="n">
        <v>17</v>
      </c>
      <c r="B46" s="162" t="n"/>
      <c r="C46" s="150" t="n"/>
      <c r="D46" s="170" t="n"/>
      <c r="E46" s="171" t="n"/>
      <c r="F46" s="172" t="n"/>
      <c r="G46" s="173" t="n"/>
      <c r="H46" s="132" t="n"/>
      <c r="I46" s="151" t="n"/>
    </row>
    <row r="47" ht="12" customHeight="1" s="118">
      <c r="A47" s="169" t="n">
        <v>18</v>
      </c>
      <c r="B47" s="162" t="n"/>
      <c r="C47" s="162" t="n"/>
      <c r="D47" s="170" t="n"/>
      <c r="E47" s="171" t="n"/>
      <c r="F47" s="172" t="n"/>
      <c r="G47" s="173" t="n"/>
      <c r="H47" s="132" t="n"/>
      <c r="I47" s="151" t="n"/>
    </row>
    <row r="48" ht="12" customHeight="1" s="118">
      <c r="A48" s="169" t="n">
        <v>19</v>
      </c>
      <c r="B48" s="162" t="n"/>
      <c r="C48" s="162" t="n"/>
      <c r="D48" s="170" t="n"/>
      <c r="E48" s="171" t="n"/>
      <c r="F48" s="172" t="n"/>
      <c r="G48" s="173" t="n"/>
      <c r="H48" s="132" t="n"/>
      <c r="I48" s="151" t="n"/>
    </row>
    <row r="49" ht="12" customHeight="1" s="118">
      <c r="A49" s="169" t="n">
        <v>20</v>
      </c>
      <c r="B49" s="162" t="n"/>
      <c r="C49" s="162" t="n"/>
      <c r="D49" s="170" t="n"/>
      <c r="E49" s="171" t="n"/>
      <c r="F49" s="172" t="n"/>
      <c r="G49" s="173" t="n"/>
      <c r="H49" s="132" t="n"/>
      <c r="I49" s="151" t="n"/>
    </row>
    <row r="50" ht="12" customHeight="1" s="118">
      <c r="A50" s="169" t="n">
        <v>21</v>
      </c>
      <c r="B50" s="162" t="n"/>
      <c r="C50" s="162" t="n"/>
      <c r="D50" s="170" t="n"/>
      <c r="E50" s="171" t="n"/>
      <c r="F50" s="172" t="n"/>
      <c r="G50" s="173" t="n"/>
      <c r="H50" s="132" t="n"/>
      <c r="I50" s="151" t="n"/>
    </row>
    <row r="51" ht="12" customHeight="1" s="118">
      <c r="A51" s="169" t="n">
        <v>22</v>
      </c>
      <c r="B51" s="162" t="n"/>
      <c r="C51" s="162" t="n"/>
      <c r="D51" s="170" t="n"/>
      <c r="E51" s="171" t="n"/>
      <c r="F51" s="172" t="n"/>
      <c r="G51" s="173" t="n"/>
      <c r="H51" s="132" t="n"/>
      <c r="I51" s="151" t="n"/>
    </row>
    <row r="52" ht="12" customHeight="1" s="118">
      <c r="A52" s="169" t="n">
        <v>23</v>
      </c>
      <c r="B52" s="162" t="n"/>
      <c r="C52" s="162" t="n"/>
      <c r="D52" s="170" t="n"/>
      <c r="E52" s="176" t="n"/>
      <c r="F52" s="172" t="n"/>
      <c r="G52" s="173" t="n"/>
      <c r="H52" s="132" t="n"/>
      <c r="I52" s="151" t="n"/>
    </row>
    <row r="53" ht="12" customHeight="1" s="118">
      <c r="A53" s="169" t="n">
        <v>24</v>
      </c>
      <c r="B53" s="162" t="n"/>
      <c r="C53" s="162" t="n"/>
      <c r="D53" s="170" t="n"/>
      <c r="E53" s="176" t="n"/>
      <c r="F53" s="172" t="n"/>
      <c r="G53" s="173" t="n"/>
      <c r="H53" s="132" t="n"/>
      <c r="I53" s="151" t="n"/>
    </row>
    <row r="54" ht="12" customHeight="1" s="118">
      <c r="A54" s="169" t="n">
        <v>25</v>
      </c>
      <c r="B54" s="162" t="n"/>
      <c r="C54" s="162" t="n"/>
      <c r="D54" s="170" t="n"/>
      <c r="E54" s="176" t="n"/>
      <c r="F54" s="172" t="n"/>
      <c r="G54" s="173" t="n"/>
      <c r="H54" s="132" t="n"/>
      <c r="I54" s="151" t="n"/>
    </row>
    <row r="55" ht="12" customHeight="1" s="118">
      <c r="A55" s="169" t="n">
        <v>26</v>
      </c>
      <c r="B55" s="162" t="n"/>
      <c r="C55" s="150" t="n"/>
      <c r="D55" s="170" t="n"/>
      <c r="E55" s="150" t="n"/>
      <c r="F55" s="139" t="n"/>
      <c r="G55" s="177" t="n"/>
      <c r="H55" s="132" t="n"/>
      <c r="I55" s="151" t="n"/>
    </row>
    <row r="56" ht="12" customHeight="1" s="118">
      <c r="A56" s="169" t="n">
        <v>27</v>
      </c>
      <c r="B56" s="162" t="n"/>
      <c r="C56" s="150" t="n"/>
      <c r="D56" s="170" t="n"/>
      <c r="E56" s="150" t="n"/>
      <c r="F56" s="139" t="n"/>
      <c r="G56" s="177" t="n"/>
      <c r="H56" s="132" t="n"/>
      <c r="I56" s="151" t="n"/>
    </row>
    <row r="57" ht="12" customHeight="1" s="118">
      <c r="A57" s="169" t="n">
        <v>28</v>
      </c>
      <c r="B57" s="162" t="n"/>
      <c r="C57" s="150" t="n"/>
      <c r="D57" s="170" t="n"/>
      <c r="E57" s="150" t="n"/>
      <c r="F57" s="139" t="n"/>
      <c r="G57" s="177" t="n"/>
      <c r="H57" s="132" t="n"/>
      <c r="I57" s="151" t="n"/>
    </row>
    <row r="58" ht="12" customHeight="1" s="118">
      <c r="A58" s="169" t="n">
        <v>29</v>
      </c>
      <c r="B58" s="162" t="n"/>
      <c r="C58" s="150" t="n"/>
      <c r="D58" s="170" t="n"/>
      <c r="E58" s="150" t="n"/>
      <c r="F58" s="139" t="n"/>
      <c r="G58" s="177" t="n"/>
      <c r="H58" s="132" t="n"/>
      <c r="I58" s="151" t="n"/>
    </row>
    <row r="59" ht="12" customHeight="1" s="118">
      <c r="A59" s="169" t="n">
        <v>30</v>
      </c>
      <c r="B59" s="162" t="n"/>
      <c r="C59" s="150" t="n"/>
      <c r="D59" s="170" t="n"/>
      <c r="E59" s="150" t="n"/>
      <c r="F59" s="139" t="n"/>
      <c r="G59" s="177" t="n"/>
      <c r="H59" s="132" t="n"/>
      <c r="I59" s="151" t="n"/>
    </row>
    <row r="60" ht="12" customHeight="1" s="118">
      <c r="A60" s="169" t="n">
        <v>31</v>
      </c>
      <c r="B60" s="162" t="n"/>
      <c r="C60" s="150" t="n"/>
      <c r="D60" s="170" t="n"/>
      <c r="E60" s="150" t="n"/>
      <c r="F60" s="139" t="n"/>
      <c r="G60" s="177" t="n"/>
      <c r="H60" s="132" t="n"/>
      <c r="I60" s="151" t="n"/>
    </row>
    <row r="61" ht="12" customHeight="1" s="118">
      <c r="A61" s="169" t="n">
        <v>32</v>
      </c>
      <c r="B61" s="162" t="n"/>
      <c r="C61" s="150" t="n"/>
      <c r="D61" s="170" t="n"/>
      <c r="E61" s="150" t="n"/>
      <c r="F61" s="139" t="n"/>
      <c r="G61" s="177" t="n"/>
      <c r="H61" s="132" t="n"/>
      <c r="I61" s="151" t="n"/>
    </row>
    <row r="62" ht="12" customHeight="1" s="118">
      <c r="A62" s="169" t="n">
        <v>33</v>
      </c>
      <c r="B62" s="162" t="n"/>
      <c r="C62" s="150" t="n"/>
      <c r="D62" s="170" t="n"/>
      <c r="E62" s="150" t="n"/>
      <c r="F62" s="139" t="n"/>
      <c r="G62" s="177" t="n"/>
      <c r="H62" s="132" t="n"/>
      <c r="I62" s="151" t="n"/>
    </row>
    <row r="63" ht="12" customHeight="1" s="118">
      <c r="A63" s="169" t="n">
        <v>34</v>
      </c>
      <c r="B63" s="150" t="n"/>
      <c r="C63" s="150" t="n"/>
      <c r="D63" s="170" t="n"/>
      <c r="E63" s="150" t="n"/>
      <c r="F63" s="139" t="n"/>
      <c r="G63" s="177" t="n"/>
      <c r="H63" s="132" t="n"/>
      <c r="I63" s="151" t="n"/>
    </row>
    <row r="64" ht="12" customHeight="1" s="118">
      <c r="A64" s="169" t="n">
        <v>35</v>
      </c>
      <c r="B64" s="150" t="n"/>
      <c r="C64" s="150" t="n"/>
      <c r="D64" s="170" t="n"/>
      <c r="E64" s="150" t="n"/>
      <c r="F64" s="139" t="n"/>
      <c r="G64" s="177" t="n"/>
      <c r="H64" s="132" t="n"/>
      <c r="I64" s="151" t="n"/>
    </row>
    <row r="65" ht="12" customHeight="1" s="118">
      <c r="A65" s="169" t="n">
        <v>36</v>
      </c>
      <c r="B65" s="150" t="n"/>
      <c r="C65" s="150" t="n"/>
      <c r="D65" s="170" t="n"/>
      <c r="E65" s="150" t="n"/>
      <c r="F65" s="139" t="n"/>
      <c r="G65" s="177" t="n"/>
      <c r="H65" s="132" t="n"/>
      <c r="I65" s="151" t="n"/>
    </row>
    <row r="66" ht="12" customHeight="1" s="118">
      <c r="A66" s="169" t="n">
        <v>37</v>
      </c>
      <c r="B66" s="150" t="n"/>
      <c r="C66" s="150" t="n"/>
      <c r="D66" s="170" t="n"/>
      <c r="E66" s="150" t="n"/>
      <c r="F66" s="139" t="n"/>
      <c r="G66" s="177" t="n"/>
      <c r="H66" s="132" t="n"/>
      <c r="I66" s="151" t="n"/>
    </row>
    <row r="67" ht="12" customHeight="1" s="118">
      <c r="A67" s="169" t="n">
        <v>38</v>
      </c>
      <c r="B67" s="150" t="n"/>
      <c r="C67" s="150" t="n"/>
      <c r="D67" s="170" t="n"/>
      <c r="E67" s="150" t="n"/>
      <c r="F67" s="139" t="n"/>
      <c r="G67" s="177" t="n"/>
      <c r="H67" s="132" t="n"/>
      <c r="I67" s="151" t="n"/>
    </row>
    <row r="68" ht="12" customHeight="1" s="118">
      <c r="A68" s="169" t="n">
        <v>39</v>
      </c>
      <c r="B68" s="150" t="n"/>
      <c r="C68" s="150" t="n"/>
      <c r="D68" s="170" t="n"/>
      <c r="E68" s="150" t="n"/>
      <c r="F68" s="139" t="n"/>
      <c r="G68" s="177" t="n"/>
      <c r="H68" s="132" t="n"/>
      <c r="I68" s="151" t="n"/>
    </row>
    <row r="69" ht="12" customHeight="1" s="118">
      <c r="A69" s="169" t="n">
        <v>40</v>
      </c>
      <c r="B69" s="150" t="n"/>
      <c r="C69" s="150" t="n"/>
      <c r="D69" s="170" t="n"/>
      <c r="E69" s="150" t="n"/>
      <c r="F69" s="139" t="n"/>
      <c r="G69" s="177" t="n"/>
      <c r="H69" s="132" t="n"/>
      <c r="I69" s="151" t="n"/>
    </row>
    <row r="70" ht="12" customHeight="1" s="118">
      <c r="A70" s="169" t="n">
        <v>41</v>
      </c>
      <c r="B70" s="150" t="n"/>
      <c r="C70" s="150" t="n"/>
      <c r="D70" s="170" t="n"/>
      <c r="E70" s="150" t="n"/>
      <c r="F70" s="139" t="n"/>
      <c r="G70" s="177" t="n"/>
      <c r="H70" s="132" t="n"/>
      <c r="I70" s="151" t="n"/>
    </row>
    <row r="71" ht="12" customHeight="1" s="118">
      <c r="A71" s="169" t="n">
        <v>42</v>
      </c>
      <c r="B71" s="150" t="n"/>
      <c r="C71" s="150" t="n"/>
      <c r="D71" s="170" t="n"/>
      <c r="E71" s="150" t="n"/>
      <c r="F71" s="139" t="n"/>
      <c r="G71" s="177" t="n"/>
      <c r="H71" s="132" t="n"/>
      <c r="I71" s="151" t="n"/>
    </row>
    <row r="72" ht="12" customHeight="1" s="118">
      <c r="A72" s="169" t="n">
        <v>43</v>
      </c>
      <c r="B72" s="150" t="n"/>
      <c r="C72" s="150" t="n"/>
      <c r="D72" s="170" t="n"/>
      <c r="E72" s="150" t="n"/>
      <c r="F72" s="139" t="n"/>
      <c r="G72" s="177" t="n"/>
      <c r="H72" s="132" t="n"/>
      <c r="I72" s="151" t="n"/>
    </row>
    <row r="73" ht="12" customHeight="1" s="118">
      <c r="A73" s="169" t="n">
        <v>44</v>
      </c>
      <c r="B73" s="150" t="n"/>
      <c r="C73" s="150" t="n"/>
      <c r="D73" s="170" t="n"/>
      <c r="E73" s="150" t="n"/>
      <c r="F73" s="139" t="n"/>
      <c r="G73" s="177" t="n"/>
      <c r="H73" s="132" t="n"/>
      <c r="I73" s="151" t="n"/>
    </row>
    <row r="74" ht="12" customHeight="1" s="118">
      <c r="A74" s="169" t="n">
        <v>45</v>
      </c>
      <c r="B74" s="150" t="n"/>
      <c r="C74" s="150" t="n"/>
      <c r="D74" s="170" t="n"/>
      <c r="E74" s="150" t="n"/>
      <c r="F74" s="139" t="n"/>
      <c r="G74" s="177" t="n"/>
      <c r="H74" s="132" t="n"/>
      <c r="I74" s="151" t="n"/>
    </row>
    <row r="75" ht="12" customHeight="1" s="118">
      <c r="A75" s="169" t="n">
        <v>46</v>
      </c>
      <c r="B75" s="150" t="n"/>
      <c r="C75" s="150" t="n"/>
      <c r="D75" s="170" t="n"/>
      <c r="E75" s="150" t="n"/>
      <c r="F75" s="139" t="n"/>
      <c r="G75" s="177" t="n"/>
      <c r="H75" s="132" t="n"/>
      <c r="I75" s="151" t="n"/>
    </row>
    <row r="76" ht="12" customHeight="1" s="118">
      <c r="A76" s="169" t="n">
        <v>47</v>
      </c>
      <c r="B76" s="150" t="n"/>
      <c r="C76" s="150" t="n"/>
      <c r="D76" s="170" t="n"/>
      <c r="E76" s="150" t="n"/>
      <c r="F76" s="139" t="n"/>
      <c r="G76" s="177" t="n"/>
      <c r="H76" s="132" t="n"/>
      <c r="I76" s="151" t="n"/>
    </row>
    <row r="77" ht="12" customHeight="1" s="118">
      <c r="A77" s="169" t="n">
        <v>48</v>
      </c>
      <c r="B77" s="150" t="n"/>
      <c r="C77" s="150" t="n"/>
      <c r="D77" s="170" t="n"/>
      <c r="E77" s="150" t="n"/>
      <c r="F77" s="139" t="n"/>
      <c r="G77" s="177" t="n"/>
      <c r="H77" s="132" t="n"/>
      <c r="I77" s="151" t="n"/>
    </row>
    <row r="78" ht="12" customHeight="1" s="118">
      <c r="A78" s="169" t="n">
        <v>49</v>
      </c>
      <c r="B78" s="150" t="n"/>
      <c r="C78" s="150" t="n"/>
      <c r="D78" s="170" t="n"/>
      <c r="E78" s="150" t="n"/>
      <c r="F78" s="139" t="n"/>
      <c r="G78" s="177" t="n"/>
      <c r="H78" s="132" t="n"/>
      <c r="I78" s="151" t="n"/>
    </row>
    <row r="79" ht="12" customHeight="1" s="118">
      <c r="A79" s="169" t="n">
        <v>50</v>
      </c>
      <c r="B79" s="150" t="n"/>
      <c r="C79" s="150" t="n"/>
      <c r="D79" s="170" t="n"/>
      <c r="E79" s="150" t="n"/>
      <c r="F79" s="139" t="n"/>
      <c r="G79" s="177" t="n"/>
      <c r="H79" s="132" t="n"/>
      <c r="I79" s="151" t="n"/>
    </row>
    <row r="80" ht="12" customHeight="1" s="118">
      <c r="A80" s="169" t="n">
        <v>51</v>
      </c>
      <c r="B80" s="150" t="n"/>
      <c r="C80" s="150" t="n"/>
      <c r="D80" s="170" t="n"/>
      <c r="E80" s="150" t="n"/>
      <c r="F80" s="139" t="n"/>
      <c r="G80" s="177" t="n"/>
      <c r="H80" s="132" t="n"/>
      <c r="I80" s="151" t="n"/>
    </row>
    <row r="81" ht="12" customHeight="1" s="118">
      <c r="A81" s="169" t="n">
        <v>52</v>
      </c>
      <c r="B81" s="150" t="n"/>
      <c r="C81" s="150" t="n"/>
      <c r="D81" s="170" t="n"/>
      <c r="E81" s="150" t="n"/>
      <c r="F81" s="139" t="n"/>
      <c r="G81" s="177" t="n"/>
      <c r="H81" s="132" t="n"/>
      <c r="I81" s="151" t="n"/>
    </row>
    <row r="82" ht="12" customHeight="1" s="118">
      <c r="A82" s="169" t="n">
        <v>53</v>
      </c>
      <c r="B82" s="150" t="n"/>
      <c r="C82" s="150" t="n"/>
      <c r="D82" s="170" t="n"/>
      <c r="E82" s="150" t="n"/>
      <c r="F82" s="139" t="n"/>
      <c r="G82" s="177" t="n"/>
      <c r="H82" s="132" t="n"/>
      <c r="I82" s="151" t="n"/>
    </row>
    <row r="83" ht="12" customHeight="1" s="118">
      <c r="A83" s="169" t="n">
        <v>54</v>
      </c>
      <c r="B83" s="150" t="n"/>
      <c r="C83" s="150" t="n"/>
      <c r="D83" s="170" t="n"/>
      <c r="E83" s="150" t="n"/>
      <c r="F83" s="139" t="n"/>
      <c r="G83" s="177" t="n"/>
      <c r="H83" s="132" t="n"/>
      <c r="I83" s="151" t="n"/>
    </row>
    <row r="84" ht="12" customHeight="1" s="118">
      <c r="A84" s="169" t="n">
        <v>55</v>
      </c>
      <c r="B84" s="150" t="n"/>
      <c r="C84" s="150" t="n"/>
      <c r="D84" s="170" t="n"/>
      <c r="E84" s="150" t="n"/>
      <c r="F84" s="139" t="n"/>
      <c r="G84" s="177" t="n"/>
      <c r="H84" s="132" t="n"/>
      <c r="I84" s="151" t="n"/>
    </row>
    <row r="85" ht="12" customHeight="1" s="118">
      <c r="A85" s="169" t="n">
        <v>56</v>
      </c>
      <c r="B85" s="150" t="n"/>
      <c r="C85" s="150" t="n"/>
      <c r="D85" s="170" t="n"/>
      <c r="E85" s="150" t="n"/>
      <c r="F85" s="139" t="n"/>
      <c r="G85" s="177" t="n"/>
      <c r="H85" s="132" t="n"/>
      <c r="I85" s="151" t="n"/>
    </row>
    <row r="86" ht="12" customHeight="1" s="118">
      <c r="A86" s="169" t="n">
        <v>57</v>
      </c>
      <c r="B86" s="150" t="n"/>
      <c r="C86" s="150" t="n"/>
      <c r="D86" s="170" t="n"/>
      <c r="E86" s="150" t="n"/>
      <c r="F86" s="139" t="n"/>
      <c r="G86" s="177" t="n"/>
      <c r="H86" s="132" t="n"/>
      <c r="I86" s="151" t="n"/>
    </row>
    <row r="87" ht="12" customHeight="1" s="118">
      <c r="A87" s="169" t="n">
        <v>58</v>
      </c>
      <c r="B87" s="150" t="n"/>
      <c r="C87" s="150" t="n"/>
      <c r="D87" s="170" t="n"/>
      <c r="E87" s="150" t="n"/>
      <c r="F87" s="139" t="n"/>
      <c r="G87" s="177" t="n"/>
      <c r="H87" s="132" t="n"/>
      <c r="I87" s="151" t="n"/>
    </row>
    <row r="88" ht="12" customHeight="1" s="118">
      <c r="A88" s="169" t="n">
        <v>59</v>
      </c>
      <c r="B88" s="150" t="n"/>
      <c r="C88" s="150" t="n"/>
      <c r="D88" s="170" t="n"/>
      <c r="E88" s="150" t="n"/>
      <c r="F88" s="139" t="n"/>
      <c r="G88" s="177" t="n"/>
      <c r="H88" s="132" t="n"/>
      <c r="I88" s="151" t="n"/>
    </row>
    <row r="89" ht="12" customHeight="1" s="118">
      <c r="A89" s="169" t="n">
        <v>60</v>
      </c>
      <c r="B89" s="150" t="n"/>
      <c r="C89" s="150" t="n"/>
      <c r="D89" s="170" t="n"/>
      <c r="E89" s="150" t="n"/>
      <c r="F89" s="139" t="n"/>
      <c r="G89" s="177" t="n"/>
      <c r="H89" s="132" t="n"/>
      <c r="I89" s="151" t="n"/>
    </row>
    <row r="90" ht="12" customHeight="1" s="118">
      <c r="A90" s="169" t="n">
        <v>61</v>
      </c>
      <c r="B90" s="150" t="n"/>
      <c r="C90" s="150" t="n"/>
      <c r="D90" s="170" t="n"/>
      <c r="E90" s="150" t="n"/>
      <c r="F90" s="139" t="n"/>
      <c r="G90" s="177" t="n"/>
      <c r="H90" s="132" t="n"/>
      <c r="I90" s="151" t="n"/>
    </row>
    <row r="91" ht="12" customHeight="1" s="118">
      <c r="A91" s="169" t="n">
        <v>62</v>
      </c>
      <c r="B91" s="150" t="n"/>
      <c r="C91" s="150" t="n"/>
      <c r="D91" s="170" t="n"/>
      <c r="E91" s="150" t="n"/>
      <c r="F91" s="139" t="n"/>
      <c r="G91" s="177" t="n"/>
      <c r="H91" s="132" t="n"/>
      <c r="I91" s="151" t="n"/>
    </row>
    <row r="92" ht="12" customHeight="1" s="118">
      <c r="A92" s="169" t="n">
        <v>63</v>
      </c>
      <c r="B92" s="150" t="n"/>
      <c r="C92" s="150" t="n"/>
      <c r="D92" s="170" t="n"/>
      <c r="E92" s="150" t="n"/>
      <c r="F92" s="139" t="n"/>
      <c r="G92" s="177" t="n"/>
      <c r="H92" s="132" t="n"/>
      <c r="I92" s="151" t="n"/>
    </row>
    <row r="93" ht="12" customHeight="1" s="118">
      <c r="A93" s="169" t="n">
        <v>64</v>
      </c>
      <c r="B93" s="150" t="n"/>
      <c r="C93" s="150" t="n"/>
      <c r="D93" s="170" t="n"/>
      <c r="E93" s="150" t="n"/>
      <c r="F93" s="139" t="n"/>
      <c r="G93" s="177" t="n"/>
      <c r="H93" s="132" t="n"/>
      <c r="I93" s="151" t="n"/>
    </row>
    <row r="94" ht="12" customHeight="1" s="118">
      <c r="A94" s="169" t="n">
        <v>65</v>
      </c>
      <c r="B94" s="150" t="n"/>
      <c r="C94" s="150" t="n"/>
      <c r="D94" s="170" t="n"/>
      <c r="E94" s="150" t="n"/>
      <c r="F94" s="139" t="n"/>
      <c r="G94" s="177" t="n"/>
      <c r="H94" s="132" t="n"/>
      <c r="I94" s="151" t="n"/>
    </row>
    <row r="95" ht="12" customHeight="1" s="118">
      <c r="A95" s="178" t="n">
        <v>66</v>
      </c>
      <c r="B95" s="162" t="n"/>
      <c r="C95" s="162" t="n"/>
      <c r="D95" s="163" t="n"/>
      <c r="E95" s="162" t="n"/>
      <c r="F95" s="179" t="n"/>
      <c r="G95" s="180" t="n"/>
      <c r="H95" s="167" t="n"/>
      <c r="I95" s="151" t="n"/>
    </row>
    <row r="96" ht="12" customHeight="1" s="118">
      <c r="A96" s="178" t="n">
        <v>67</v>
      </c>
      <c r="B96" s="162" t="n"/>
      <c r="C96" s="150" t="n"/>
      <c r="D96" s="170" t="n"/>
      <c r="E96" s="162" t="n"/>
      <c r="F96" s="139" t="n"/>
      <c r="G96" s="180" t="n"/>
      <c r="H96" s="167" t="n"/>
      <c r="I96" s="151" t="n"/>
    </row>
    <row r="97" ht="12" customHeight="1" s="118">
      <c r="A97" s="178" t="n">
        <v>68</v>
      </c>
      <c r="B97" s="162" t="n"/>
      <c r="C97" s="150" t="n"/>
      <c r="D97" s="170" t="n"/>
      <c r="E97" s="162" t="n"/>
      <c r="F97" s="139" t="n"/>
      <c r="G97" s="180" t="n"/>
      <c r="H97" s="167" t="n"/>
      <c r="I97" s="151" t="n"/>
    </row>
    <row r="98" ht="12" customHeight="1" s="118">
      <c r="A98" s="178" t="n">
        <v>69</v>
      </c>
      <c r="B98" s="162" t="n"/>
      <c r="C98" s="150" t="n"/>
      <c r="D98" s="170" t="n"/>
      <c r="E98" s="162" t="n"/>
      <c r="F98" s="139" t="n"/>
      <c r="G98" s="180" t="n"/>
      <c r="H98" s="167" t="n"/>
      <c r="I98" s="151" t="n"/>
    </row>
    <row r="99" ht="12" customHeight="1" s="118">
      <c r="A99" s="178" t="n">
        <v>70</v>
      </c>
      <c r="B99" s="162" t="n"/>
      <c r="C99" s="150" t="n"/>
      <c r="D99" s="170" t="n"/>
      <c r="E99" s="162" t="n"/>
      <c r="F99" s="139" t="n"/>
      <c r="G99" s="180" t="n"/>
      <c r="H99" s="167" t="n"/>
      <c r="I99" s="151" t="n"/>
    </row>
    <row r="100" ht="12" customHeight="1" s="118">
      <c r="A100" s="178" t="n">
        <v>71</v>
      </c>
      <c r="B100" s="162" t="n"/>
      <c r="C100" s="150" t="n"/>
      <c r="D100" s="170" t="n"/>
      <c r="E100" s="162" t="n"/>
      <c r="F100" s="139" t="n"/>
      <c r="G100" s="180" t="n"/>
      <c r="H100" s="167" t="n"/>
      <c r="I100" s="151" t="n"/>
    </row>
    <row r="101" ht="12" customHeight="1" s="118">
      <c r="A101" s="178" t="n">
        <v>72</v>
      </c>
      <c r="B101" s="162" t="n"/>
      <c r="C101" s="150" t="n"/>
      <c r="D101" s="170" t="n"/>
      <c r="E101" s="162" t="n"/>
      <c r="F101" s="139" t="n"/>
      <c r="G101" s="180" t="n"/>
      <c r="H101" s="167" t="n"/>
      <c r="I101" s="151" t="n"/>
    </row>
    <row r="102" ht="12" customHeight="1" s="118">
      <c r="A102" s="178" t="n">
        <v>73</v>
      </c>
      <c r="B102" s="162" t="n"/>
      <c r="C102" s="150" t="n"/>
      <c r="D102" s="170" t="n"/>
      <c r="E102" s="162" t="n"/>
      <c r="F102" s="139" t="n"/>
      <c r="G102" s="180" t="n"/>
      <c r="H102" s="167" t="n"/>
      <c r="I102" s="151" t="n"/>
    </row>
    <row r="103" ht="12" customHeight="1" s="118">
      <c r="A103" s="178" t="n">
        <v>74</v>
      </c>
      <c r="B103" s="162" t="n"/>
      <c r="C103" s="150" t="n"/>
      <c r="D103" s="170" t="n"/>
      <c r="E103" s="162" t="n"/>
      <c r="F103" s="139" t="n"/>
      <c r="G103" s="180" t="n"/>
      <c r="H103" s="167" t="n"/>
      <c r="I103" s="151" t="n"/>
    </row>
    <row r="104" ht="12" customHeight="1" s="118">
      <c r="A104" s="178" t="n">
        <v>75</v>
      </c>
      <c r="B104" s="162" t="n"/>
      <c r="C104" s="150" t="n"/>
      <c r="D104" s="170" t="n"/>
      <c r="E104" s="162" t="n"/>
      <c r="F104" s="139" t="n"/>
      <c r="G104" s="180" t="n"/>
      <c r="H104" s="167" t="n"/>
      <c r="I104" s="151" t="n"/>
    </row>
    <row r="105" ht="12" customHeight="1" s="118">
      <c r="A105" s="178" t="n">
        <v>76</v>
      </c>
      <c r="B105" s="162" t="n"/>
      <c r="C105" s="150" t="n"/>
      <c r="D105" s="170" t="n"/>
      <c r="E105" s="162" t="n"/>
      <c r="F105" s="139" t="n"/>
      <c r="G105" s="180" t="n"/>
      <c r="H105" s="167" t="n"/>
      <c r="I105" s="151" t="n"/>
    </row>
    <row r="106" ht="12" customHeight="1" s="118">
      <c r="A106" s="178" t="n">
        <v>77</v>
      </c>
      <c r="B106" s="162" t="n"/>
      <c r="C106" s="150" t="n"/>
      <c r="D106" s="170" t="n"/>
      <c r="E106" s="162" t="n"/>
      <c r="F106" s="139" t="n"/>
      <c r="G106" s="180" t="n"/>
      <c r="H106" s="167" t="n"/>
      <c r="I106" s="151" t="n"/>
    </row>
    <row r="107" ht="12" customHeight="1" s="118">
      <c r="A107" s="178" t="n">
        <v>78</v>
      </c>
      <c r="B107" s="162" t="n"/>
      <c r="C107" s="150" t="n"/>
      <c r="D107" s="170" t="n"/>
      <c r="E107" s="162" t="n"/>
      <c r="F107" s="139" t="n"/>
      <c r="G107" s="180" t="n"/>
      <c r="H107" s="167" t="n"/>
      <c r="I107" s="151" t="n"/>
    </row>
    <row r="108" ht="12" customHeight="1" s="118">
      <c r="A108" s="178" t="n">
        <v>79</v>
      </c>
      <c r="B108" s="162" t="n"/>
      <c r="C108" s="150" t="n"/>
      <c r="D108" s="170" t="n"/>
      <c r="E108" s="162" t="n"/>
      <c r="F108" s="139" t="n"/>
      <c r="G108" s="180" t="n"/>
      <c r="H108" s="167" t="n"/>
      <c r="I108" s="151" t="n"/>
    </row>
    <row r="109" ht="12" customHeight="1" s="118">
      <c r="A109" s="178" t="n">
        <v>80</v>
      </c>
      <c r="B109" s="162" t="n"/>
      <c r="C109" s="150" t="n"/>
      <c r="D109" s="170" t="n"/>
      <c r="E109" s="162" t="n"/>
      <c r="F109" s="139" t="n"/>
      <c r="G109" s="180" t="n"/>
      <c r="H109" s="167" t="n"/>
      <c r="I109" s="151" t="n"/>
    </row>
    <row r="110" ht="12" customHeight="1" s="118">
      <c r="A110" s="178" t="n">
        <v>81</v>
      </c>
      <c r="B110" s="162" t="n"/>
      <c r="C110" s="150" t="n"/>
      <c r="D110" s="170" t="n"/>
      <c r="E110" s="162" t="n"/>
      <c r="F110" s="139" t="n"/>
      <c r="G110" s="180" t="n"/>
      <c r="H110" s="167" t="n"/>
      <c r="I110" s="151" t="n"/>
    </row>
    <row r="111" ht="12" customHeight="1" s="118">
      <c r="A111" s="178" t="n">
        <v>82</v>
      </c>
      <c r="B111" s="162" t="n"/>
      <c r="C111" s="150" t="n"/>
      <c r="D111" s="170" t="n"/>
      <c r="E111" s="162" t="n"/>
      <c r="F111" s="139" t="n"/>
      <c r="G111" s="180" t="n"/>
      <c r="H111" s="167" t="n"/>
      <c r="I111" s="151" t="n"/>
    </row>
    <row r="112" ht="12" customHeight="1" s="118">
      <c r="A112" s="178" t="n">
        <v>83</v>
      </c>
      <c r="B112" s="162" t="n"/>
      <c r="C112" s="150" t="n"/>
      <c r="D112" s="170" t="n"/>
      <c r="E112" s="162" t="n"/>
      <c r="F112" s="139" t="n"/>
      <c r="G112" s="180" t="n"/>
      <c r="H112" s="167" t="n"/>
      <c r="I112" s="151" t="n"/>
    </row>
    <row r="113" ht="12" customHeight="1" s="118">
      <c r="A113" s="178" t="n">
        <v>84</v>
      </c>
      <c r="B113" s="162" t="n"/>
      <c r="C113" s="150" t="n"/>
      <c r="D113" s="170" t="n"/>
      <c r="E113" s="162" t="n"/>
      <c r="F113" s="139" t="n"/>
      <c r="G113" s="180" t="n"/>
      <c r="H113" s="167" t="n"/>
      <c r="I113" s="151" t="n"/>
    </row>
    <row r="114" ht="12" customHeight="1" s="118">
      <c r="A114" s="178" t="n">
        <v>85</v>
      </c>
      <c r="B114" s="162" t="n"/>
      <c r="C114" s="150" t="n"/>
      <c r="D114" s="170" t="n"/>
      <c r="E114" s="162" t="n"/>
      <c r="F114" s="139" t="n"/>
      <c r="G114" s="180" t="n"/>
      <c r="H114" s="167" t="n"/>
      <c r="I114" s="151" t="n"/>
    </row>
    <row r="115" ht="12" customHeight="1" s="118">
      <c r="A115" s="178" t="n">
        <v>86</v>
      </c>
      <c r="B115" s="162" t="n"/>
      <c r="C115" s="150" t="n"/>
      <c r="D115" s="170" t="n"/>
      <c r="E115" s="162" t="n"/>
      <c r="F115" s="139" t="n"/>
      <c r="G115" s="180" t="n"/>
      <c r="H115" s="167" t="n"/>
      <c r="I115" s="151" t="n"/>
    </row>
    <row r="116" ht="12" customHeight="1" s="118">
      <c r="A116" s="178" t="n">
        <v>87</v>
      </c>
      <c r="B116" s="162" t="n"/>
      <c r="C116" s="150" t="n"/>
      <c r="D116" s="170" t="n"/>
      <c r="E116" s="162" t="n"/>
      <c r="F116" s="139" t="n"/>
      <c r="G116" s="180" t="n"/>
      <c r="H116" s="167" t="n"/>
      <c r="I116" s="151" t="n"/>
    </row>
    <row r="117" ht="12" customHeight="1" s="118">
      <c r="A117" s="178" t="n">
        <v>88</v>
      </c>
      <c r="B117" s="162" t="n"/>
      <c r="C117" s="150" t="n"/>
      <c r="D117" s="170" t="n"/>
      <c r="E117" s="162" t="n"/>
      <c r="F117" s="139" t="n"/>
      <c r="G117" s="180" t="n"/>
      <c r="H117" s="167" t="n"/>
      <c r="I117" s="151" t="n"/>
    </row>
    <row r="118" ht="12" customHeight="1" s="118">
      <c r="A118" s="178" t="n">
        <v>89</v>
      </c>
      <c r="B118" s="162" t="n"/>
      <c r="C118" s="150" t="n"/>
      <c r="D118" s="170" t="n"/>
      <c r="E118" s="162" t="n"/>
      <c r="F118" s="139" t="n"/>
      <c r="G118" s="180" t="n"/>
      <c r="H118" s="167" t="n"/>
      <c r="I118" s="151" t="n"/>
    </row>
    <row r="119" ht="12" customHeight="1" s="118">
      <c r="A119" s="178" t="n">
        <v>90</v>
      </c>
      <c r="B119" s="162" t="n"/>
      <c r="C119" s="150" t="n"/>
      <c r="D119" s="170" t="n"/>
      <c r="E119" s="162" t="n"/>
      <c r="F119" s="139" t="n"/>
      <c r="G119" s="180" t="n"/>
      <c r="H119" s="167" t="n"/>
      <c r="I119" s="151" t="n"/>
    </row>
    <row r="120" ht="12" customHeight="1" s="118">
      <c r="A120" s="178" t="n">
        <v>91</v>
      </c>
      <c r="B120" s="162" t="n"/>
      <c r="C120" s="150" t="n"/>
      <c r="D120" s="170" t="n"/>
      <c r="E120" s="162" t="n"/>
      <c r="F120" s="139" t="n"/>
      <c r="G120" s="180" t="n"/>
      <c r="H120" s="167" t="n"/>
      <c r="I120" s="151" t="n"/>
    </row>
    <row r="121" ht="12" customHeight="1" s="118">
      <c r="A121" s="178" t="n">
        <v>92</v>
      </c>
      <c r="B121" s="162" t="n"/>
      <c r="C121" s="150" t="n"/>
      <c r="D121" s="170" t="n"/>
      <c r="E121" s="162" t="n"/>
      <c r="F121" s="139" t="n"/>
      <c r="G121" s="180" t="n"/>
      <c r="H121" s="167" t="n"/>
      <c r="I121" s="151" t="n"/>
    </row>
    <row r="122" ht="12" customHeight="1" s="118">
      <c r="A122" s="178" t="n">
        <v>93</v>
      </c>
      <c r="B122" s="162" t="n"/>
      <c r="C122" s="150" t="n"/>
      <c r="D122" s="170" t="n"/>
      <c r="E122" s="162" t="n"/>
      <c r="F122" s="139" t="n"/>
      <c r="G122" s="180" t="n"/>
      <c r="H122" s="167" t="n"/>
      <c r="I122" s="151" t="n"/>
    </row>
    <row r="123" ht="12" customHeight="1" s="118">
      <c r="A123" s="178" t="n">
        <v>94</v>
      </c>
      <c r="B123" s="162" t="n"/>
      <c r="C123" s="150" t="n"/>
      <c r="D123" s="170" t="n"/>
      <c r="E123" s="162" t="n"/>
      <c r="F123" s="139" t="n"/>
      <c r="G123" s="180" t="n"/>
      <c r="H123" s="167" t="n"/>
      <c r="I123" s="151" t="n"/>
    </row>
    <row r="124" ht="12" customHeight="1" s="118">
      <c r="A124" s="178" t="n">
        <v>95</v>
      </c>
      <c r="B124" s="162" t="n"/>
      <c r="C124" s="150" t="n"/>
      <c r="D124" s="170" t="n"/>
      <c r="E124" s="162" t="n"/>
      <c r="F124" s="139" t="n"/>
      <c r="G124" s="180" t="n"/>
      <c r="H124" s="167" t="n"/>
      <c r="I124" s="151" t="n"/>
    </row>
    <row r="125" ht="12" customHeight="1" s="118">
      <c r="A125" s="178" t="n">
        <v>96</v>
      </c>
      <c r="B125" s="162" t="n"/>
      <c r="C125" s="150" t="n"/>
      <c r="D125" s="170" t="n"/>
      <c r="E125" s="162" t="n"/>
      <c r="F125" s="139" t="n"/>
      <c r="G125" s="180" t="n"/>
      <c r="H125" s="167" t="n"/>
      <c r="I125" s="151" t="n"/>
    </row>
    <row r="126" ht="12" customHeight="1" s="118">
      <c r="A126" s="178" t="n">
        <v>97</v>
      </c>
      <c r="B126" s="162" t="n"/>
      <c r="C126" s="150" t="n"/>
      <c r="D126" s="170" t="n"/>
      <c r="E126" s="162" t="n"/>
      <c r="F126" s="139" t="n"/>
      <c r="G126" s="180" t="n"/>
      <c r="H126" s="167" t="n"/>
      <c r="I126" s="151" t="n"/>
    </row>
    <row r="127" ht="12" customHeight="1" s="118">
      <c r="A127" s="178" t="n">
        <v>98</v>
      </c>
      <c r="B127" s="162" t="n"/>
      <c r="C127" s="150" t="n"/>
      <c r="D127" s="170" t="n"/>
      <c r="E127" s="162" t="n"/>
      <c r="F127" s="139" t="n"/>
      <c r="G127" s="180" t="n"/>
      <c r="H127" s="167" t="n"/>
      <c r="I127" s="151" t="n"/>
    </row>
    <row r="128" ht="12" customHeight="1" s="118">
      <c r="A128" s="178" t="n">
        <v>99</v>
      </c>
      <c r="B128" s="162" t="n"/>
      <c r="C128" s="150" t="n"/>
      <c r="D128" s="170" t="n"/>
      <c r="E128" s="162" t="n"/>
      <c r="F128" s="139" t="n"/>
      <c r="G128" s="180" t="n"/>
      <c r="H128" s="167" t="n"/>
      <c r="I128" s="151" t="n"/>
    </row>
    <row r="129" ht="12" customHeight="1" s="118">
      <c r="A129" s="178" t="n">
        <v>100</v>
      </c>
      <c r="B129" s="162" t="n"/>
      <c r="C129" s="150" t="n"/>
      <c r="D129" s="170" t="n"/>
      <c r="E129" s="162" t="n"/>
      <c r="F129" s="139" t="n"/>
      <c r="G129" s="180" t="n"/>
      <c r="H129" s="167" t="n"/>
      <c r="I129" s="151" t="n"/>
    </row>
    <row r="130" ht="12" customHeight="1" s="118">
      <c r="A130" s="178" t="n">
        <v>101</v>
      </c>
      <c r="B130" s="162" t="n"/>
      <c r="C130" s="150" t="n"/>
      <c r="D130" s="170" t="n"/>
      <c r="E130" s="162" t="n"/>
      <c r="F130" s="139" t="n"/>
      <c r="G130" s="180" t="n"/>
      <c r="H130" s="167" t="n"/>
      <c r="I130" s="151" t="n"/>
    </row>
    <row r="131" ht="12" customHeight="1" s="118">
      <c r="A131" s="178" t="n">
        <v>102</v>
      </c>
      <c r="B131" s="162" t="n"/>
      <c r="C131" s="150" t="n"/>
      <c r="D131" s="170" t="n"/>
      <c r="E131" s="162" t="n"/>
      <c r="F131" s="139" t="n"/>
      <c r="G131" s="180" t="n"/>
      <c r="H131" s="167" t="n"/>
      <c r="I131" s="151" t="n"/>
    </row>
    <row r="132" ht="12" customHeight="1" s="118">
      <c r="A132" s="178" t="n">
        <v>103</v>
      </c>
      <c r="B132" s="162" t="n"/>
      <c r="C132" s="150" t="n"/>
      <c r="D132" s="170" t="n"/>
      <c r="E132" s="162" t="n"/>
      <c r="F132" s="139" t="n"/>
      <c r="G132" s="180" t="n"/>
      <c r="H132" s="167" t="n"/>
      <c r="I132" s="151" t="n"/>
    </row>
    <row r="133" ht="12" customHeight="1" s="118">
      <c r="A133" s="178" t="n">
        <v>104</v>
      </c>
      <c r="B133" s="162" t="n"/>
      <c r="C133" s="150" t="n"/>
      <c r="D133" s="170" t="n"/>
      <c r="E133" s="162" t="n"/>
      <c r="F133" s="139" t="n"/>
      <c r="G133" s="180" t="n"/>
      <c r="H133" s="167" t="n"/>
      <c r="I133" s="151" t="n"/>
    </row>
    <row r="134" ht="12" customHeight="1" s="118">
      <c r="A134" s="178" t="n">
        <v>105</v>
      </c>
      <c r="B134" s="162" t="n"/>
      <c r="C134" s="150" t="n"/>
      <c r="D134" s="170" t="n"/>
      <c r="E134" s="162" t="n"/>
      <c r="F134" s="139" t="n"/>
      <c r="G134" s="180" t="n"/>
      <c r="H134" s="167" t="n"/>
      <c r="I134" s="151" t="n"/>
    </row>
    <row r="135" ht="12" customHeight="1" s="118">
      <c r="A135" s="178" t="n">
        <v>106</v>
      </c>
      <c r="B135" s="162" t="n"/>
      <c r="C135" s="150" t="n"/>
      <c r="D135" s="170" t="n"/>
      <c r="E135" s="162" t="n"/>
      <c r="F135" s="139" t="n"/>
      <c r="G135" s="180" t="n"/>
      <c r="H135" s="167" t="n"/>
      <c r="I135" s="151" t="n"/>
    </row>
    <row r="136" ht="12" customHeight="1" s="118">
      <c r="A136" s="178" t="n">
        <v>107</v>
      </c>
      <c r="B136" s="162" t="n"/>
      <c r="C136" s="150" t="n"/>
      <c r="D136" s="170" t="n"/>
      <c r="E136" s="162" t="n"/>
      <c r="F136" s="139" t="n"/>
      <c r="G136" s="180" t="n"/>
      <c r="H136" s="167" t="n"/>
      <c r="I136" s="151" t="n"/>
    </row>
    <row r="137" ht="12" customHeight="1" s="118">
      <c r="A137" s="178" t="n">
        <v>108</v>
      </c>
      <c r="B137" s="162" t="n"/>
      <c r="C137" s="150" t="n"/>
      <c r="D137" s="170" t="n"/>
      <c r="E137" s="162" t="n"/>
      <c r="F137" s="139" t="n"/>
      <c r="G137" s="180" t="n"/>
      <c r="H137" s="167" t="n"/>
      <c r="I137" s="151" t="n"/>
    </row>
    <row r="138" ht="12" customHeight="1" s="118">
      <c r="A138" s="178" t="n">
        <v>109</v>
      </c>
      <c r="B138" s="162" t="n"/>
      <c r="C138" s="150" t="n"/>
      <c r="D138" s="170" t="n"/>
      <c r="E138" s="162" t="n"/>
      <c r="F138" s="139" t="n"/>
      <c r="G138" s="180" t="n"/>
      <c r="H138" s="167" t="n"/>
      <c r="I138" s="151" t="n"/>
    </row>
    <row r="139" ht="12" customHeight="1" s="118">
      <c r="A139" s="178" t="n">
        <v>110</v>
      </c>
      <c r="B139" s="162" t="n"/>
      <c r="C139" s="150" t="n"/>
      <c r="D139" s="170" t="n"/>
      <c r="E139" s="162" t="n"/>
      <c r="F139" s="139" t="n"/>
      <c r="G139" s="180" t="n"/>
      <c r="H139" s="167" t="n"/>
      <c r="I139" s="151" t="n"/>
    </row>
    <row r="140" ht="12" customHeight="1" s="118">
      <c r="A140" s="178" t="n">
        <v>111</v>
      </c>
      <c r="B140" s="162" t="n"/>
      <c r="C140" s="150" t="n"/>
      <c r="D140" s="170" t="n"/>
      <c r="E140" s="162" t="n"/>
      <c r="F140" s="139" t="n"/>
      <c r="G140" s="180" t="n"/>
      <c r="H140" s="167" t="n"/>
      <c r="I140" s="151" t="n"/>
    </row>
    <row r="141" ht="12" customHeight="1" s="118">
      <c r="A141" s="178" t="n">
        <v>112</v>
      </c>
      <c r="B141" s="162" t="n"/>
      <c r="C141" s="150" t="n"/>
      <c r="D141" s="170" t="n"/>
      <c r="E141" s="162" t="n"/>
      <c r="F141" s="139" t="n"/>
      <c r="G141" s="180" t="n"/>
      <c r="H141" s="167" t="n"/>
      <c r="I141" s="151" t="n"/>
    </row>
    <row r="142" ht="12" customHeight="1" s="118">
      <c r="A142" s="178" t="n">
        <v>113</v>
      </c>
      <c r="B142" s="162" t="n"/>
      <c r="C142" s="150" t="n"/>
      <c r="D142" s="170" t="n"/>
      <c r="E142" s="162" t="n"/>
      <c r="F142" s="139" t="n"/>
      <c r="G142" s="180" t="n"/>
      <c r="H142" s="167" t="n"/>
      <c r="I142" s="151" t="n"/>
    </row>
    <row r="143" ht="12" customHeight="1" s="118">
      <c r="A143" s="178" t="n">
        <v>114</v>
      </c>
      <c r="B143" s="162" t="n"/>
      <c r="C143" s="150" t="n"/>
      <c r="D143" s="170" t="n"/>
      <c r="E143" s="162" t="n"/>
      <c r="F143" s="139" t="n"/>
      <c r="G143" s="180" t="n"/>
      <c r="H143" s="167" t="n"/>
      <c r="I143" s="151" t="n"/>
    </row>
    <row r="144" ht="12" customHeight="1" s="118">
      <c r="A144" s="178" t="n">
        <v>115</v>
      </c>
      <c r="B144" s="162" t="n"/>
      <c r="C144" s="150" t="n"/>
      <c r="D144" s="170" t="n"/>
      <c r="E144" s="162" t="n"/>
      <c r="F144" s="139" t="n"/>
      <c r="G144" s="180" t="n"/>
      <c r="H144" s="167" t="n"/>
      <c r="I144" s="151" t="n"/>
    </row>
    <row r="145" ht="12" customHeight="1" s="118">
      <c r="A145" s="178" t="n">
        <v>116</v>
      </c>
      <c r="B145" s="162" t="n"/>
      <c r="C145" s="150" t="n"/>
      <c r="D145" s="170" t="n"/>
      <c r="E145" s="162" t="n"/>
      <c r="F145" s="139" t="n"/>
      <c r="G145" s="180" t="n"/>
      <c r="H145" s="167" t="n"/>
      <c r="I145" s="151" t="n"/>
    </row>
    <row r="146" ht="12" customHeight="1" s="118">
      <c r="A146" s="178" t="n">
        <v>117</v>
      </c>
      <c r="B146" s="162" t="n"/>
      <c r="C146" s="150" t="n"/>
      <c r="D146" s="170" t="n"/>
      <c r="E146" s="162" t="n"/>
      <c r="F146" s="139" t="n"/>
      <c r="G146" s="180" t="n"/>
      <c r="H146" s="167" t="n"/>
      <c r="I146" s="151" t="n"/>
    </row>
    <row r="147" ht="12" customHeight="1" s="118">
      <c r="A147" s="178" t="n">
        <v>118</v>
      </c>
      <c r="B147" s="162" t="n"/>
      <c r="C147" s="150" t="n"/>
      <c r="D147" s="170" t="n"/>
      <c r="E147" s="162" t="n"/>
      <c r="F147" s="139" t="n"/>
      <c r="G147" s="180" t="n"/>
      <c r="H147" s="167" t="n"/>
      <c r="I147" s="151" t="n"/>
    </row>
    <row r="148" ht="12" customHeight="1" s="118">
      <c r="A148" s="178" t="n">
        <v>119</v>
      </c>
      <c r="B148" s="162" t="n"/>
      <c r="C148" s="150" t="n"/>
      <c r="D148" s="170" t="n"/>
      <c r="E148" s="162" t="n"/>
      <c r="F148" s="139" t="n"/>
      <c r="G148" s="180" t="n"/>
      <c r="H148" s="167" t="n"/>
      <c r="I148" s="151" t="n"/>
    </row>
    <row r="149" ht="12" customHeight="1" s="118">
      <c r="A149" s="178" t="n">
        <v>120</v>
      </c>
      <c r="B149" s="162" t="n"/>
      <c r="C149" s="150" t="n"/>
      <c r="D149" s="170" t="n"/>
      <c r="E149" s="162" t="n"/>
      <c r="F149" s="139" t="n"/>
      <c r="G149" s="180" t="n"/>
      <c r="H149" s="167" t="n"/>
      <c r="I149" s="151" t="n"/>
    </row>
    <row r="150" ht="12" customHeight="1" s="118">
      <c r="A150" s="178" t="n">
        <v>121</v>
      </c>
      <c r="B150" s="162" t="n"/>
      <c r="C150" s="150" t="n"/>
      <c r="D150" s="170" t="n"/>
      <c r="E150" s="162" t="n"/>
      <c r="F150" s="139" t="n"/>
      <c r="G150" s="180" t="n"/>
      <c r="H150" s="167" t="n"/>
      <c r="I150" s="151" t="n"/>
    </row>
    <row r="151" ht="12" customHeight="1" s="118">
      <c r="A151" s="178" t="n">
        <v>122</v>
      </c>
      <c r="B151" s="162" t="n"/>
      <c r="C151" s="150" t="n"/>
      <c r="D151" s="170" t="n"/>
      <c r="E151" s="162" t="n"/>
      <c r="F151" s="139" t="n"/>
      <c r="G151" s="180" t="n"/>
      <c r="H151" s="167" t="n"/>
      <c r="I151" s="151" t="n"/>
    </row>
    <row r="152" ht="12" customHeight="1" s="118">
      <c r="A152" s="178" t="n">
        <v>123</v>
      </c>
      <c r="B152" s="162" t="n"/>
      <c r="C152" s="150" t="n"/>
      <c r="D152" s="170" t="n"/>
      <c r="E152" s="162" t="n"/>
      <c r="F152" s="139" t="n"/>
      <c r="G152" s="180" t="n"/>
      <c r="H152" s="167" t="n"/>
      <c r="I152" s="151" t="n"/>
    </row>
    <row r="153" ht="12" customHeight="1" s="118">
      <c r="A153" s="178" t="n">
        <v>124</v>
      </c>
      <c r="B153" s="162" t="n"/>
      <c r="C153" s="150" t="n"/>
      <c r="D153" s="170" t="n"/>
      <c r="E153" s="162" t="n"/>
      <c r="F153" s="139" t="n"/>
      <c r="G153" s="180" t="n"/>
      <c r="H153" s="167" t="n"/>
      <c r="I153" s="151" t="n"/>
    </row>
    <row r="154" ht="12" customHeight="1" s="118">
      <c r="A154" s="178" t="n">
        <v>125</v>
      </c>
      <c r="B154" s="162" t="n"/>
      <c r="C154" s="150" t="n"/>
      <c r="D154" s="170" t="n"/>
      <c r="E154" s="162" t="n"/>
      <c r="F154" s="139" t="n"/>
      <c r="G154" s="180" t="n"/>
      <c r="H154" s="167" t="n"/>
      <c r="I154" s="151" t="n"/>
    </row>
    <row r="155" ht="12" customHeight="1" s="118">
      <c r="A155" s="178" t="n">
        <v>126</v>
      </c>
      <c r="B155" s="162" t="n"/>
      <c r="C155" s="150" t="n"/>
      <c r="D155" s="170" t="n"/>
      <c r="E155" s="162" t="n"/>
      <c r="F155" s="139" t="n"/>
      <c r="G155" s="180" t="n"/>
      <c r="H155" s="167" t="n"/>
      <c r="I155" s="151" t="n"/>
    </row>
    <row r="156" ht="12" customHeight="1" s="118">
      <c r="A156" s="178" t="n">
        <v>127</v>
      </c>
      <c r="B156" s="162" t="n"/>
      <c r="C156" s="150" t="n"/>
      <c r="D156" s="170" t="n"/>
      <c r="E156" s="162" t="n"/>
      <c r="F156" s="139" t="n"/>
      <c r="G156" s="180" t="n"/>
      <c r="H156" s="167" t="n"/>
      <c r="I156" s="151" t="n"/>
    </row>
    <row r="157" ht="12" customHeight="1" s="118">
      <c r="A157" s="178" t="n">
        <v>128</v>
      </c>
      <c r="B157" s="162" t="n"/>
      <c r="C157" s="150" t="n"/>
      <c r="D157" s="170" t="n"/>
      <c r="E157" s="162" t="n"/>
      <c r="F157" s="139" t="n"/>
      <c r="G157" s="180" t="n"/>
      <c r="H157" s="167" t="n"/>
      <c r="I157" s="151" t="n"/>
    </row>
    <row r="158" ht="12" customHeight="1" s="118">
      <c r="A158" s="178" t="n">
        <v>129</v>
      </c>
      <c r="B158" s="162" t="n"/>
      <c r="C158" s="150" t="n"/>
      <c r="D158" s="170" t="n"/>
      <c r="E158" s="162" t="n"/>
      <c r="F158" s="139" t="n"/>
      <c r="G158" s="180" t="n"/>
      <c r="H158" s="167" t="n"/>
      <c r="I158" s="151" t="n"/>
    </row>
    <row r="159" ht="12" customHeight="1" s="118">
      <c r="A159" s="178" t="n">
        <v>130</v>
      </c>
      <c r="B159" s="162" t="n"/>
      <c r="C159" s="150" t="n"/>
      <c r="D159" s="170" t="n"/>
      <c r="E159" s="162" t="n"/>
      <c r="F159" s="139" t="n"/>
      <c r="G159" s="180" t="n"/>
      <c r="H159" s="167" t="n"/>
      <c r="I159" s="151" t="n"/>
    </row>
    <row r="160" ht="12" customHeight="1" s="118">
      <c r="A160" s="178" t="n">
        <v>131</v>
      </c>
      <c r="B160" s="162" t="n"/>
      <c r="C160" s="150" t="n"/>
      <c r="D160" s="170" t="n"/>
      <c r="E160" s="162" t="n"/>
      <c r="F160" s="139" t="n"/>
      <c r="G160" s="180" t="n"/>
      <c r="H160" s="167" t="n"/>
      <c r="I160" s="151" t="n"/>
    </row>
    <row r="161" ht="12" customHeight="1" s="118">
      <c r="A161" s="178" t="n">
        <v>132</v>
      </c>
      <c r="B161" s="162" t="n"/>
      <c r="C161" s="150" t="n"/>
      <c r="D161" s="170" t="n"/>
      <c r="E161" s="162" t="n"/>
      <c r="F161" s="139" t="n"/>
      <c r="G161" s="180" t="n"/>
      <c r="H161" s="167" t="n"/>
      <c r="I161" s="151" t="n"/>
    </row>
    <row r="162" ht="12" customHeight="1" s="118">
      <c r="A162" s="178" t="n">
        <v>133</v>
      </c>
      <c r="B162" s="162" t="n"/>
      <c r="C162" s="150" t="n"/>
      <c r="D162" s="170" t="n"/>
      <c r="E162" s="162" t="n"/>
      <c r="F162" s="139" t="n"/>
      <c r="G162" s="180" t="n"/>
      <c r="H162" s="167" t="n"/>
      <c r="I162" s="151" t="n"/>
    </row>
    <row r="163" ht="12" customHeight="1" s="118">
      <c r="A163" s="178" t="n">
        <v>134</v>
      </c>
      <c r="B163" s="162" t="n"/>
      <c r="C163" s="150" t="n"/>
      <c r="D163" s="170" t="n"/>
      <c r="E163" s="162" t="n"/>
      <c r="F163" s="139" t="n"/>
      <c r="G163" s="180" t="n"/>
      <c r="H163" s="167" t="n"/>
      <c r="I163" s="151" t="n"/>
    </row>
    <row r="164" ht="12" customHeight="1" s="118">
      <c r="A164" s="178" t="n">
        <v>135</v>
      </c>
      <c r="B164" s="162" t="n"/>
      <c r="C164" s="150" t="n"/>
      <c r="D164" s="170" t="n"/>
      <c r="E164" s="162" t="n"/>
      <c r="F164" s="139" t="n"/>
      <c r="G164" s="180" t="n"/>
      <c r="H164" s="167" t="n"/>
      <c r="I164" s="151" t="n"/>
    </row>
    <row r="165" ht="12" customHeight="1" s="118">
      <c r="A165" s="178" t="n">
        <v>136</v>
      </c>
      <c r="B165" s="162" t="n"/>
      <c r="C165" s="150" t="n"/>
      <c r="D165" s="170" t="n"/>
      <c r="E165" s="162" t="n"/>
      <c r="F165" s="139" t="n"/>
      <c r="G165" s="180" t="n"/>
      <c r="H165" s="167" t="n"/>
      <c r="I165" s="151" t="n"/>
    </row>
    <row r="166" ht="12" customHeight="1" s="118">
      <c r="A166" s="178" t="n">
        <v>137</v>
      </c>
      <c r="B166" s="162" t="n"/>
      <c r="C166" s="150" t="n"/>
      <c r="D166" s="170" t="n"/>
      <c r="E166" s="162" t="n"/>
      <c r="F166" s="139" t="n"/>
      <c r="G166" s="180" t="n"/>
      <c r="H166" s="167" t="n"/>
      <c r="I166" s="151" t="n"/>
    </row>
    <row r="167" ht="12" customHeight="1" s="118">
      <c r="A167" s="178" t="n">
        <v>138</v>
      </c>
      <c r="B167" s="162" t="n"/>
      <c r="C167" s="150" t="n"/>
      <c r="D167" s="170" t="n"/>
      <c r="E167" s="162" t="n"/>
      <c r="F167" s="139" t="n"/>
      <c r="G167" s="180" t="n"/>
      <c r="H167" s="167" t="n"/>
      <c r="I167" s="151" t="n"/>
    </row>
    <row r="168" ht="12" customHeight="1" s="118">
      <c r="A168" s="178" t="n">
        <v>139</v>
      </c>
      <c r="B168" s="162" t="n"/>
      <c r="C168" s="150" t="n"/>
      <c r="D168" s="170" t="n"/>
      <c r="E168" s="162" t="n"/>
      <c r="F168" s="139" t="n"/>
      <c r="G168" s="180" t="n"/>
      <c r="H168" s="167" t="n"/>
      <c r="I168" s="151" t="n"/>
    </row>
    <row r="169" ht="12" customHeight="1" s="118">
      <c r="A169" s="178" t="n">
        <v>140</v>
      </c>
      <c r="B169" s="162" t="n"/>
      <c r="C169" s="150" t="n"/>
      <c r="D169" s="170" t="n"/>
      <c r="E169" s="162" t="n"/>
      <c r="F169" s="139" t="n"/>
      <c r="G169" s="180" t="n"/>
      <c r="H169" s="167" t="n"/>
      <c r="I169" s="151" t="n"/>
    </row>
    <row r="170" ht="12" customHeight="1" s="118">
      <c r="A170" s="178" t="n">
        <v>141</v>
      </c>
      <c r="B170" s="162" t="n"/>
      <c r="C170" s="150" t="n"/>
      <c r="D170" s="170" t="n"/>
      <c r="E170" s="162" t="n"/>
      <c r="F170" s="139" t="n"/>
      <c r="G170" s="180" t="n"/>
      <c r="H170" s="167" t="n"/>
      <c r="I170" s="151" t="n"/>
    </row>
    <row r="171" ht="12" customHeight="1" s="118">
      <c r="A171" s="178" t="n">
        <v>142</v>
      </c>
      <c r="B171" s="162" t="n"/>
      <c r="C171" s="150" t="n"/>
      <c r="D171" s="170" t="n"/>
      <c r="E171" s="162" t="n"/>
      <c r="F171" s="139" t="n"/>
      <c r="G171" s="180" t="n"/>
      <c r="H171" s="167" t="n"/>
      <c r="I171" s="151" t="n"/>
    </row>
    <row r="172" ht="12" customHeight="1" s="118">
      <c r="A172" s="178" t="n">
        <v>143</v>
      </c>
      <c r="B172" s="162" t="n"/>
      <c r="C172" s="150" t="n"/>
      <c r="D172" s="170" t="n"/>
      <c r="E172" s="162" t="n"/>
      <c r="F172" s="139" t="n"/>
      <c r="G172" s="180" t="n"/>
      <c r="H172" s="167" t="n"/>
      <c r="I172" s="151" t="n"/>
    </row>
    <row r="173" ht="12" customHeight="1" s="118">
      <c r="A173" s="178" t="n">
        <v>144</v>
      </c>
      <c r="B173" s="162" t="n"/>
      <c r="C173" s="150" t="n"/>
      <c r="D173" s="170" t="n"/>
      <c r="E173" s="162" t="n"/>
      <c r="F173" s="139" t="n"/>
      <c r="G173" s="180" t="n"/>
      <c r="H173" s="167" t="n"/>
      <c r="I173" s="151" t="n"/>
    </row>
    <row r="174" ht="12" customHeight="1" s="118">
      <c r="A174" s="178" t="n">
        <v>145</v>
      </c>
      <c r="B174" s="162" t="n"/>
      <c r="C174" s="150" t="n"/>
      <c r="D174" s="170" t="n"/>
      <c r="E174" s="162" t="n"/>
      <c r="F174" s="139" t="n"/>
      <c r="G174" s="180" t="n"/>
      <c r="H174" s="167" t="n"/>
      <c r="I174" s="151" t="n"/>
    </row>
    <row r="175" ht="12" customHeight="1" s="118">
      <c r="A175" s="178" t="n">
        <v>146</v>
      </c>
      <c r="B175" s="162" t="n"/>
      <c r="C175" s="150" t="n"/>
      <c r="D175" s="170" t="n"/>
      <c r="E175" s="162" t="n"/>
      <c r="F175" s="139" t="n"/>
      <c r="G175" s="180" t="n"/>
      <c r="H175" s="167" t="n"/>
      <c r="I175" s="151" t="n"/>
    </row>
    <row r="176" ht="12" customHeight="1" s="118">
      <c r="A176" s="178" t="n">
        <v>147</v>
      </c>
      <c r="B176" s="162" t="n"/>
      <c r="C176" s="150" t="n"/>
      <c r="D176" s="170" t="n"/>
      <c r="E176" s="162" t="n"/>
      <c r="F176" s="139" t="n"/>
      <c r="G176" s="180" t="n"/>
      <c r="H176" s="167" t="n"/>
      <c r="I176" s="151" t="n"/>
    </row>
    <row r="177" ht="12" customHeight="1" s="118">
      <c r="A177" s="178" t="n">
        <v>148</v>
      </c>
      <c r="B177" s="162" t="n"/>
      <c r="C177" s="150" t="n"/>
      <c r="D177" s="170" t="n"/>
      <c r="E177" s="162" t="n"/>
      <c r="F177" s="139" t="n"/>
      <c r="G177" s="180" t="n"/>
      <c r="H177" s="167" t="n"/>
      <c r="I177" s="151" t="n"/>
    </row>
    <row r="178" ht="12" customHeight="1" s="118">
      <c r="A178" s="178" t="n">
        <v>149</v>
      </c>
      <c r="B178" s="162" t="n"/>
      <c r="C178" s="150" t="n"/>
      <c r="D178" s="170" t="n"/>
      <c r="E178" s="162" t="n"/>
      <c r="F178" s="139" t="n"/>
      <c r="G178" s="180" t="n"/>
      <c r="H178" s="167" t="n"/>
      <c r="I178" s="151" t="n"/>
    </row>
    <row r="179" ht="12" customHeight="1" s="118">
      <c r="A179" s="178" t="n">
        <v>150</v>
      </c>
      <c r="B179" s="162" t="n"/>
      <c r="C179" s="150" t="n"/>
      <c r="D179" s="170" t="n"/>
      <c r="E179" s="162" t="n"/>
      <c r="F179" s="139" t="n"/>
      <c r="G179" s="180" t="n"/>
      <c r="H179" s="167" t="n"/>
      <c r="I179" s="151" t="n"/>
    </row>
    <row r="180" ht="12" customHeight="1" s="118">
      <c r="A180" s="178" t="n">
        <v>151</v>
      </c>
      <c r="B180" s="162" t="n"/>
      <c r="C180" s="150" t="n"/>
      <c r="D180" s="170" t="n"/>
      <c r="E180" s="162" t="n"/>
      <c r="F180" s="139" t="n"/>
      <c r="G180" s="180" t="n"/>
      <c r="H180" s="167" t="n"/>
      <c r="I180" s="151" t="n"/>
    </row>
    <row r="181" ht="12" customHeight="1" s="118">
      <c r="A181" s="178" t="n">
        <v>152</v>
      </c>
      <c r="B181" s="162" t="n"/>
      <c r="C181" s="150" t="n"/>
      <c r="D181" s="170" t="n"/>
      <c r="E181" s="162" t="n"/>
      <c r="F181" s="139" t="n"/>
      <c r="G181" s="180" t="n"/>
      <c r="H181" s="167" t="n"/>
      <c r="I181" s="151" t="n"/>
    </row>
    <row r="182" ht="12" customHeight="1" s="118">
      <c r="A182" s="178" t="n">
        <v>153</v>
      </c>
      <c r="B182" s="162" t="n"/>
      <c r="C182" s="150" t="n"/>
      <c r="D182" s="170" t="n"/>
      <c r="E182" s="162" t="n"/>
      <c r="F182" s="139" t="n"/>
      <c r="G182" s="180" t="n"/>
      <c r="H182" s="167" t="n"/>
      <c r="I182" s="151" t="n"/>
    </row>
    <row r="183" ht="12" customHeight="1" s="118">
      <c r="A183" s="178" t="n">
        <v>154</v>
      </c>
      <c r="B183" s="162" t="n"/>
      <c r="C183" s="150" t="n"/>
      <c r="D183" s="170" t="n"/>
      <c r="E183" s="162" t="n"/>
      <c r="F183" s="139" t="n"/>
      <c r="G183" s="180" t="n"/>
      <c r="H183" s="167" t="n"/>
      <c r="I183" s="151" t="n"/>
    </row>
    <row r="184" ht="12" customHeight="1" s="118">
      <c r="A184" s="178" t="n">
        <v>155</v>
      </c>
      <c r="B184" s="162" t="n"/>
      <c r="C184" s="150" t="n"/>
      <c r="D184" s="170" t="n"/>
      <c r="E184" s="162" t="n"/>
      <c r="F184" s="139" t="n"/>
      <c r="G184" s="180" t="n"/>
      <c r="H184" s="167" t="n"/>
      <c r="I184" s="151" t="n"/>
    </row>
    <row r="185" ht="12" customHeight="1" s="118">
      <c r="A185" s="178" t="n">
        <v>156</v>
      </c>
      <c r="B185" s="162" t="n"/>
      <c r="C185" s="150" t="n"/>
      <c r="D185" s="170" t="n"/>
      <c r="E185" s="162" t="n"/>
      <c r="F185" s="139" t="n"/>
      <c r="G185" s="180" t="n"/>
      <c r="H185" s="167" t="n"/>
      <c r="I185" s="151" t="n"/>
    </row>
    <row r="186" ht="12" customHeight="1" s="118">
      <c r="A186" s="178" t="n">
        <v>157</v>
      </c>
      <c r="B186" s="162" t="n"/>
      <c r="C186" s="150" t="n"/>
      <c r="D186" s="170" t="n"/>
      <c r="E186" s="162" t="n"/>
      <c r="F186" s="139" t="n"/>
      <c r="G186" s="180" t="n"/>
      <c r="H186" s="167" t="n"/>
      <c r="I186" s="151" t="n"/>
    </row>
    <row r="187" ht="12" customHeight="1" s="118">
      <c r="A187" s="178" t="n">
        <v>158</v>
      </c>
      <c r="B187" s="162" t="n"/>
      <c r="C187" s="150" t="n"/>
      <c r="D187" s="170" t="n"/>
      <c r="E187" s="162" t="n"/>
      <c r="F187" s="139" t="n"/>
      <c r="G187" s="180" t="n"/>
      <c r="H187" s="167" t="n"/>
      <c r="I187" s="151" t="n"/>
    </row>
    <row r="188" ht="12" customHeight="1" s="118">
      <c r="A188" s="178" t="n">
        <v>159</v>
      </c>
      <c r="B188" s="162" t="n"/>
      <c r="C188" s="150" t="n"/>
      <c r="D188" s="170" t="n"/>
      <c r="E188" s="162" t="n"/>
      <c r="F188" s="139" t="n"/>
      <c r="G188" s="180" t="n"/>
      <c r="H188" s="167" t="n"/>
      <c r="I188" s="151" t="n"/>
    </row>
    <row r="189" ht="12" customHeight="1" s="118">
      <c r="A189" s="178" t="n">
        <v>160</v>
      </c>
      <c r="B189" s="162" t="n"/>
      <c r="C189" s="150" t="n"/>
      <c r="D189" s="170" t="n"/>
      <c r="E189" s="162" t="n"/>
      <c r="F189" s="139" t="n"/>
      <c r="G189" s="180" t="n"/>
      <c r="H189" s="167" t="n"/>
      <c r="I189" s="151" t="n"/>
    </row>
    <row r="190" ht="12" customHeight="1" s="118">
      <c r="A190" s="178" t="n">
        <v>161</v>
      </c>
      <c r="B190" s="162" t="n"/>
      <c r="C190" s="150" t="n"/>
      <c r="D190" s="170" t="n"/>
      <c r="E190" s="162" t="n"/>
      <c r="F190" s="139" t="n"/>
      <c r="G190" s="180" t="n"/>
      <c r="H190" s="167" t="n"/>
      <c r="I190" s="151" t="n"/>
    </row>
    <row r="191" ht="12" customHeight="1" s="118">
      <c r="A191" s="178" t="n">
        <v>162</v>
      </c>
      <c r="B191" s="162" t="n"/>
      <c r="C191" s="150" t="n"/>
      <c r="D191" s="170" t="n"/>
      <c r="E191" s="162" t="n"/>
      <c r="F191" s="139" t="n"/>
      <c r="G191" s="180" t="n"/>
      <c r="H191" s="167" t="n"/>
      <c r="I191" s="151" t="n"/>
    </row>
    <row r="192" ht="12" customHeight="1" s="118">
      <c r="A192" s="178" t="n">
        <v>163</v>
      </c>
      <c r="B192" s="162" t="n"/>
      <c r="C192" s="150" t="n"/>
      <c r="D192" s="170" t="n"/>
      <c r="E192" s="162" t="n"/>
      <c r="F192" s="139" t="n"/>
      <c r="G192" s="180" t="n"/>
      <c r="H192" s="167" t="n"/>
      <c r="I192" s="151" t="n"/>
    </row>
    <row r="193" ht="12" customHeight="1" s="118">
      <c r="A193" s="178" t="n">
        <v>164</v>
      </c>
      <c r="B193" s="162" t="n"/>
      <c r="C193" s="150" t="n"/>
      <c r="D193" s="170" t="n"/>
      <c r="E193" s="162" t="n"/>
      <c r="F193" s="139" t="n"/>
      <c r="G193" s="180" t="n"/>
      <c r="H193" s="167" t="n"/>
      <c r="I193" s="151" t="n"/>
    </row>
    <row r="194" ht="12" customHeight="1" s="118">
      <c r="A194" s="178" t="n">
        <v>165</v>
      </c>
      <c r="B194" s="162" t="n"/>
      <c r="C194" s="150" t="n"/>
      <c r="D194" s="170" t="n"/>
      <c r="E194" s="162" t="n"/>
      <c r="F194" s="139" t="n"/>
      <c r="G194" s="180" t="n"/>
      <c r="H194" s="167" t="n"/>
      <c r="I194" s="151" t="n"/>
    </row>
    <row r="195" ht="12" customHeight="1" s="118">
      <c r="A195" s="178" t="n">
        <v>166</v>
      </c>
      <c r="B195" s="162" t="n"/>
      <c r="C195" s="150" t="n"/>
      <c r="D195" s="170" t="n"/>
      <c r="E195" s="162" t="n"/>
      <c r="F195" s="139" t="n"/>
      <c r="G195" s="180" t="n"/>
      <c r="H195" s="167" t="n"/>
      <c r="I195" s="151" t="n"/>
    </row>
    <row r="196" ht="12" customHeight="1" s="118">
      <c r="A196" s="178" t="n">
        <v>167</v>
      </c>
      <c r="B196" s="162" t="n"/>
      <c r="C196" s="150" t="n"/>
      <c r="D196" s="170" t="n"/>
      <c r="E196" s="162" t="n"/>
      <c r="F196" s="139" t="n"/>
      <c r="G196" s="180" t="n"/>
      <c r="H196" s="167" t="n"/>
      <c r="I196" s="151" t="n"/>
    </row>
    <row r="197" ht="12" customHeight="1" s="118">
      <c r="A197" s="178" t="n">
        <v>168</v>
      </c>
      <c r="B197" s="162" t="n"/>
      <c r="C197" s="150" t="n"/>
      <c r="D197" s="170" t="n"/>
      <c r="E197" s="162" t="n"/>
      <c r="F197" s="139" t="n"/>
      <c r="G197" s="180" t="n"/>
      <c r="H197" s="167" t="n"/>
      <c r="I197" s="151" t="n"/>
    </row>
    <row r="198" ht="12" customHeight="1" s="118">
      <c r="A198" s="178" t="n">
        <v>169</v>
      </c>
      <c r="B198" s="162" t="n"/>
      <c r="C198" s="150" t="n"/>
      <c r="D198" s="170" t="n"/>
      <c r="E198" s="162" t="n"/>
      <c r="F198" s="139" t="n"/>
      <c r="G198" s="180" t="n"/>
      <c r="H198" s="167" t="n"/>
      <c r="I198" s="151" t="n"/>
    </row>
    <row r="199" ht="12" customHeight="1" s="118">
      <c r="A199" s="178" t="n">
        <v>170</v>
      </c>
      <c r="B199" s="162" t="n"/>
      <c r="C199" s="150" t="n"/>
      <c r="D199" s="170" t="n"/>
      <c r="E199" s="162" t="n"/>
      <c r="F199" s="139" t="n"/>
      <c r="G199" s="180" t="n"/>
      <c r="H199" s="167" t="n"/>
      <c r="I199" s="151" t="n"/>
    </row>
    <row r="200" ht="12" customHeight="1" s="118">
      <c r="A200" s="178" t="n">
        <v>171</v>
      </c>
      <c r="B200" s="162" t="n"/>
      <c r="C200" s="150" t="n"/>
      <c r="D200" s="170" t="n"/>
      <c r="E200" s="162" t="n"/>
      <c r="F200" s="139" t="n"/>
      <c r="G200" s="180" t="n"/>
      <c r="H200" s="167" t="n"/>
      <c r="I200" s="151" t="n"/>
    </row>
    <row r="201" ht="12" customHeight="1" s="118">
      <c r="A201" s="178" t="n">
        <v>172</v>
      </c>
      <c r="B201" s="162" t="n"/>
      <c r="C201" s="150" t="n"/>
      <c r="D201" s="170" t="n"/>
      <c r="E201" s="162" t="n"/>
      <c r="F201" s="139" t="n"/>
      <c r="G201" s="180" t="n"/>
      <c r="H201" s="167" t="n"/>
      <c r="I201" s="151" t="n"/>
    </row>
    <row r="202" ht="12" customHeight="1" s="118">
      <c r="A202" s="178" t="n">
        <v>173</v>
      </c>
      <c r="B202" s="162" t="n"/>
      <c r="C202" s="150" t="n"/>
      <c r="D202" s="170" t="n"/>
      <c r="E202" s="162" t="n"/>
      <c r="F202" s="139" t="n"/>
      <c r="G202" s="180" t="n"/>
      <c r="H202" s="167" t="n"/>
      <c r="I202" s="151" t="n"/>
    </row>
    <row r="203" ht="12" customHeight="1" s="118">
      <c r="A203" s="178" t="n">
        <v>174</v>
      </c>
      <c r="B203" s="162" t="n"/>
      <c r="C203" s="150" t="n"/>
      <c r="D203" s="170" t="n"/>
      <c r="E203" s="162" t="n"/>
      <c r="F203" s="139" t="n"/>
      <c r="G203" s="180" t="n"/>
      <c r="H203" s="167" t="n"/>
      <c r="I203" s="151" t="n"/>
    </row>
    <row r="204" ht="12" customHeight="1" s="118">
      <c r="A204" s="178" t="n">
        <v>175</v>
      </c>
      <c r="B204" s="162" t="n"/>
      <c r="C204" s="150" t="n"/>
      <c r="D204" s="170" t="n"/>
      <c r="E204" s="162" t="n"/>
      <c r="F204" s="139" t="n"/>
      <c r="G204" s="180" t="n"/>
      <c r="H204" s="167" t="n"/>
      <c r="I204" s="151" t="n"/>
    </row>
    <row r="205" ht="12" customHeight="1" s="118">
      <c r="A205" s="178" t="n">
        <v>176</v>
      </c>
      <c r="B205" s="162" t="n"/>
      <c r="C205" s="150" t="n"/>
      <c r="D205" s="170" t="n"/>
      <c r="E205" s="162" t="n"/>
      <c r="F205" s="139" t="n"/>
      <c r="G205" s="180" t="n"/>
      <c r="H205" s="167" t="n"/>
      <c r="I205" s="151" t="n"/>
    </row>
    <row r="206" ht="12" customHeight="1" s="118">
      <c r="A206" s="178" t="n">
        <v>177</v>
      </c>
      <c r="B206" s="162" t="n"/>
      <c r="C206" s="150" t="n"/>
      <c r="D206" s="170" t="n"/>
      <c r="E206" s="162" t="n"/>
      <c r="F206" s="139" t="n"/>
      <c r="G206" s="180" t="n"/>
      <c r="H206" s="167" t="n"/>
      <c r="I206" s="151" t="n"/>
    </row>
    <row r="207" ht="12" customHeight="1" s="118">
      <c r="A207" s="178" t="n">
        <v>178</v>
      </c>
      <c r="B207" s="162" t="n"/>
      <c r="C207" s="150" t="n"/>
      <c r="D207" s="170" t="n"/>
      <c r="E207" s="162" t="n"/>
      <c r="F207" s="139" t="n"/>
      <c r="G207" s="180" t="n"/>
      <c r="H207" s="167" t="n"/>
      <c r="I207" s="151" t="n"/>
    </row>
    <row r="208" ht="12" customHeight="1" s="118">
      <c r="A208" s="178" t="n">
        <v>179</v>
      </c>
      <c r="B208" s="162" t="n"/>
      <c r="C208" s="150" t="n"/>
      <c r="D208" s="170" t="n"/>
      <c r="E208" s="162" t="n"/>
      <c r="F208" s="139" t="n"/>
      <c r="G208" s="180" t="n"/>
      <c r="H208" s="167" t="n"/>
      <c r="I208" s="151" t="n"/>
    </row>
    <row r="209" ht="12" customHeight="1" s="118">
      <c r="A209" s="178" t="n">
        <v>180</v>
      </c>
      <c r="B209" s="162" t="n"/>
      <c r="C209" s="150" t="n"/>
      <c r="D209" s="170" t="n"/>
      <c r="E209" s="162" t="n"/>
      <c r="F209" s="139" t="n"/>
      <c r="G209" s="180" t="n"/>
      <c r="H209" s="167" t="n"/>
      <c r="I209" s="151" t="n"/>
    </row>
    <row r="210" ht="12" customHeight="1" s="118">
      <c r="A210" s="178" t="n">
        <v>181</v>
      </c>
      <c r="B210" s="162" t="n"/>
      <c r="C210" s="150" t="n"/>
      <c r="D210" s="170" t="n"/>
      <c r="E210" s="162" t="n"/>
      <c r="F210" s="139" t="n"/>
      <c r="G210" s="180" t="n"/>
      <c r="H210" s="167" t="n"/>
      <c r="I210" s="151" t="n"/>
    </row>
    <row r="211" ht="12" customHeight="1" s="118">
      <c r="A211" s="178" t="n">
        <v>182</v>
      </c>
      <c r="B211" s="162" t="n"/>
      <c r="C211" s="150" t="n"/>
      <c r="D211" s="170" t="n"/>
      <c r="E211" s="162" t="n"/>
      <c r="F211" s="139" t="n"/>
      <c r="G211" s="180" t="n"/>
      <c r="H211" s="167" t="n"/>
      <c r="I211" s="151" t="n"/>
    </row>
    <row r="212" ht="12" customHeight="1" s="118">
      <c r="A212" s="178" t="n">
        <v>183</v>
      </c>
      <c r="B212" s="162" t="n"/>
      <c r="C212" s="150" t="n"/>
      <c r="D212" s="170" t="n"/>
      <c r="E212" s="162" t="n"/>
      <c r="F212" s="139" t="n"/>
      <c r="G212" s="180" t="n"/>
      <c r="H212" s="167" t="n"/>
      <c r="I212" s="151" t="n"/>
    </row>
    <row r="213" ht="12" customHeight="1" s="118">
      <c r="A213" s="178" t="n">
        <v>184</v>
      </c>
      <c r="B213" s="162" t="n"/>
      <c r="C213" s="150" t="n"/>
      <c r="D213" s="170" t="n"/>
      <c r="E213" s="162" t="n"/>
      <c r="F213" s="139" t="n"/>
      <c r="G213" s="180" t="n"/>
      <c r="H213" s="167" t="n"/>
      <c r="I213" s="151" t="n"/>
    </row>
    <row r="214" ht="12" customHeight="1" s="118">
      <c r="A214" s="178" t="n">
        <v>185</v>
      </c>
      <c r="B214" s="162" t="n"/>
      <c r="C214" s="150" t="n"/>
      <c r="D214" s="170" t="n"/>
      <c r="E214" s="162" t="n"/>
      <c r="F214" s="139" t="n"/>
      <c r="G214" s="180" t="n"/>
      <c r="H214" s="167" t="n"/>
      <c r="I214" s="151" t="n"/>
    </row>
    <row r="215" ht="12" customHeight="1" s="118">
      <c r="A215" s="178" t="n">
        <v>186</v>
      </c>
      <c r="B215" s="162" t="n"/>
      <c r="C215" s="150" t="n"/>
      <c r="D215" s="170" t="n"/>
      <c r="E215" s="162" t="n"/>
      <c r="F215" s="139" t="n"/>
      <c r="G215" s="180" t="n"/>
      <c r="H215" s="167" t="n"/>
      <c r="I215" s="151" t="n"/>
    </row>
    <row r="216" ht="12" customHeight="1" s="118">
      <c r="A216" s="178" t="n">
        <v>187</v>
      </c>
      <c r="B216" s="162" t="n"/>
      <c r="C216" s="150" t="n"/>
      <c r="D216" s="170" t="n"/>
      <c r="E216" s="162" t="n"/>
      <c r="F216" s="139" t="n"/>
      <c r="G216" s="180" t="n"/>
      <c r="H216" s="167" t="n"/>
      <c r="I216" s="151" t="n"/>
    </row>
    <row r="217" ht="12" customHeight="1" s="118">
      <c r="A217" s="178" t="n">
        <v>188</v>
      </c>
      <c r="B217" s="162" t="n"/>
      <c r="C217" s="150" t="n"/>
      <c r="D217" s="170" t="n"/>
      <c r="E217" s="162" t="n"/>
      <c r="F217" s="139" t="n"/>
      <c r="G217" s="180" t="n"/>
      <c r="H217" s="167" t="n"/>
      <c r="I217" s="151" t="n"/>
    </row>
    <row r="218" ht="12" customHeight="1" s="118">
      <c r="A218" s="178" t="n">
        <v>189</v>
      </c>
      <c r="B218" s="162" t="n"/>
      <c r="C218" s="150" t="n"/>
      <c r="D218" s="170" t="n"/>
      <c r="E218" s="162" t="n"/>
      <c r="F218" s="139" t="n"/>
      <c r="G218" s="180" t="n"/>
      <c r="H218" s="167" t="n"/>
      <c r="I218" s="151" t="n"/>
    </row>
    <row r="219" ht="12" customHeight="1" s="118">
      <c r="A219" s="178" t="n">
        <v>190</v>
      </c>
      <c r="B219" s="162" t="n"/>
      <c r="C219" s="150" t="n"/>
      <c r="D219" s="170" t="n"/>
      <c r="E219" s="162" t="n"/>
      <c r="F219" s="139" t="n"/>
      <c r="G219" s="180" t="n"/>
      <c r="H219" s="167" t="n"/>
      <c r="I219" s="151" t="n"/>
    </row>
    <row r="220" ht="12" customHeight="1" s="118">
      <c r="A220" s="178" t="n">
        <v>191</v>
      </c>
      <c r="B220" s="162" t="n"/>
      <c r="C220" s="150" t="n"/>
      <c r="D220" s="170" t="n"/>
      <c r="E220" s="162" t="n"/>
      <c r="F220" s="139" t="n"/>
      <c r="G220" s="180" t="n"/>
      <c r="H220" s="167" t="n"/>
      <c r="I220" s="151" t="n"/>
    </row>
    <row r="221" ht="12" customHeight="1" s="118">
      <c r="A221" s="178" t="n">
        <v>192</v>
      </c>
      <c r="B221" s="162" t="n"/>
      <c r="C221" s="150" t="n"/>
      <c r="D221" s="170" t="n"/>
      <c r="E221" s="162" t="n"/>
      <c r="F221" s="139" t="n"/>
      <c r="G221" s="180" t="n"/>
      <c r="H221" s="167" t="n"/>
      <c r="I221" s="151" t="n"/>
    </row>
    <row r="222" ht="12" customHeight="1" s="118">
      <c r="A222" s="178" t="n">
        <v>193</v>
      </c>
      <c r="B222" s="162" t="n"/>
      <c r="C222" s="150" t="n"/>
      <c r="D222" s="170" t="n"/>
      <c r="E222" s="162" t="n"/>
      <c r="F222" s="139" t="n"/>
      <c r="G222" s="180" t="n"/>
      <c r="H222" s="167" t="n"/>
      <c r="I222" s="151" t="n"/>
    </row>
    <row r="223" ht="12" customHeight="1" s="118">
      <c r="A223" s="178" t="n">
        <v>194</v>
      </c>
      <c r="B223" s="162" t="n"/>
      <c r="C223" s="150" t="n"/>
      <c r="D223" s="170" t="n"/>
      <c r="E223" s="162" t="n"/>
      <c r="F223" s="139" t="n"/>
      <c r="G223" s="180" t="n"/>
      <c r="H223" s="167" t="n"/>
      <c r="I223" s="151" t="n"/>
    </row>
    <row r="224" ht="12" customHeight="1" s="118">
      <c r="A224" s="178" t="n">
        <v>195</v>
      </c>
      <c r="B224" s="162" t="n"/>
      <c r="C224" s="150" t="n"/>
      <c r="D224" s="170" t="n"/>
      <c r="E224" s="162" t="n"/>
      <c r="F224" s="139" t="n"/>
      <c r="G224" s="180" t="n"/>
      <c r="H224" s="167" t="n"/>
      <c r="I224" s="151" t="n"/>
    </row>
    <row r="225" ht="12" customHeight="1" s="118">
      <c r="A225" s="178" t="n">
        <v>196</v>
      </c>
      <c r="B225" s="162" t="n"/>
      <c r="C225" s="150" t="n"/>
      <c r="D225" s="170" t="n"/>
      <c r="E225" s="162" t="n"/>
      <c r="F225" s="139" t="n"/>
      <c r="G225" s="180" t="n"/>
      <c r="H225" s="167" t="n"/>
      <c r="I225" s="151" t="n"/>
    </row>
    <row r="226" ht="12" customHeight="1" s="118">
      <c r="A226" s="178" t="n">
        <v>197</v>
      </c>
      <c r="B226" s="162" t="n"/>
      <c r="C226" s="150" t="n"/>
      <c r="D226" s="170" t="n"/>
      <c r="E226" s="162" t="n"/>
      <c r="F226" s="139" t="n"/>
      <c r="G226" s="180" t="n"/>
      <c r="H226" s="167" t="n"/>
      <c r="I226" s="151" t="n"/>
    </row>
    <row r="227" ht="12" customHeight="1" s="118">
      <c r="A227" s="178" t="n">
        <v>198</v>
      </c>
      <c r="B227" s="162" t="n"/>
      <c r="C227" s="150" t="n"/>
      <c r="D227" s="170" t="n"/>
      <c r="E227" s="162" t="n"/>
      <c r="F227" s="139" t="n"/>
      <c r="G227" s="180" t="n"/>
      <c r="H227" s="167" t="n"/>
      <c r="I227" s="151" t="n"/>
    </row>
    <row r="228" ht="12" customHeight="1" s="118">
      <c r="A228" s="178" t="n">
        <v>199</v>
      </c>
      <c r="B228" s="162" t="n"/>
      <c r="C228" s="150" t="n"/>
      <c r="D228" s="170" t="n"/>
      <c r="E228" s="162" t="n"/>
      <c r="F228" s="139" t="n"/>
      <c r="G228" s="180" t="n"/>
      <c r="H228" s="167" t="n"/>
      <c r="I228" s="151" t="n"/>
    </row>
    <row r="229" ht="12" customHeight="1" s="118">
      <c r="A229" s="178" t="n">
        <v>200</v>
      </c>
      <c r="B229" s="162" t="n"/>
      <c r="C229" s="150" t="n"/>
      <c r="D229" s="170" t="n"/>
      <c r="E229" s="162" t="n"/>
      <c r="F229" s="139" t="n"/>
      <c r="G229" s="180" t="n"/>
      <c r="H229" s="167" t="n"/>
      <c r="I229" s="151" t="n"/>
    </row>
    <row r="230" ht="12" customHeight="1" s="118">
      <c r="A230" s="169" t="n">
        <v>201</v>
      </c>
      <c r="B230" s="162" t="n"/>
      <c r="C230" s="150" t="n"/>
      <c r="D230" s="170" t="n"/>
      <c r="E230" s="162" t="n"/>
      <c r="F230" s="139" t="n"/>
      <c r="G230" s="180" t="n"/>
      <c r="H230" s="167" t="n"/>
      <c r="I230" s="151" t="n"/>
    </row>
    <row r="231" ht="12.75" customHeight="1" s="118">
      <c r="B231" s="117" t="n"/>
      <c r="C231" s="117" t="n"/>
      <c r="D231" s="117" t="n"/>
      <c r="E231" s="117" t="n"/>
      <c r="F231" s="117" t="n"/>
    </row>
    <row r="232" ht="12.75" customHeight="1" s="118">
      <c r="B232" s="117" t="n"/>
      <c r="C232" s="117" t="n"/>
      <c r="D232" s="117" t="n"/>
      <c r="E232" s="117" t="n"/>
      <c r="F232" s="117" t="n"/>
    </row>
    <row r="233" ht="12.75" customHeight="1" s="118">
      <c r="B233" s="117" t="n"/>
      <c r="C233" s="117" t="n"/>
      <c r="D233" s="117" t="n"/>
      <c r="E233" s="117" t="n"/>
      <c r="F233" s="117" t="n"/>
    </row>
    <row r="234" ht="12.75" customHeight="1" s="118">
      <c r="B234" s="117" t="n"/>
      <c r="C234" s="117" t="n"/>
      <c r="D234" s="117" t="n"/>
      <c r="E234" s="117" t="n"/>
      <c r="F234" s="117" t="n"/>
    </row>
    <row r="235" ht="12.75" customHeight="1" s="118">
      <c r="B235" s="117" t="n"/>
      <c r="C235" s="117" t="n"/>
      <c r="D235" s="117" t="n"/>
      <c r="E235" s="117" t="n"/>
      <c r="F235" s="117" t="n"/>
    </row>
    <row r="236" ht="12.75" customHeight="1" s="118">
      <c r="B236" s="117" t="n"/>
      <c r="C236" s="117" t="n"/>
      <c r="D236" s="117" t="n"/>
      <c r="E236" s="117" t="n"/>
      <c r="F236" s="117" t="n"/>
    </row>
    <row r="237" ht="12.75" customHeight="1" s="118">
      <c r="B237" s="117" t="n"/>
      <c r="C237" s="117" t="n"/>
      <c r="D237" s="117" t="n"/>
      <c r="E237" s="117" t="n"/>
      <c r="F237" s="117" t="n"/>
    </row>
    <row r="238" ht="12.75" customHeight="1" s="118">
      <c r="B238" s="117" t="n"/>
      <c r="C238" s="117" t="n"/>
      <c r="D238" s="117" t="n"/>
      <c r="E238" s="117" t="n"/>
      <c r="F238" s="117" t="n"/>
    </row>
    <row r="239" ht="12.75" customHeight="1" s="118">
      <c r="B239" s="117" t="n"/>
      <c r="C239" s="117" t="n"/>
      <c r="D239" s="117" t="n"/>
      <c r="E239" s="117" t="n"/>
      <c r="F239" s="117" t="n"/>
    </row>
    <row r="240" ht="12.75" customHeight="1" s="118">
      <c r="B240" s="117" t="n"/>
      <c r="C240" s="117" t="n"/>
      <c r="D240" s="117" t="n"/>
      <c r="E240" s="117" t="n"/>
      <c r="F240" s="117" t="n"/>
    </row>
    <row r="241" ht="12.75" customHeight="1" s="118">
      <c r="B241" s="117" t="n"/>
      <c r="C241" s="117" t="n"/>
      <c r="D241" s="117" t="n"/>
      <c r="E241" s="117" t="n"/>
      <c r="F241" s="117" t="n"/>
    </row>
    <row r="242" ht="12.75" customHeight="1" s="118">
      <c r="B242" s="117" t="n"/>
      <c r="C242" s="117" t="n"/>
      <c r="D242" s="117" t="n"/>
      <c r="E242" s="117" t="n"/>
      <c r="F242" s="117" t="n"/>
    </row>
    <row r="243" ht="12.75" customHeight="1" s="118">
      <c r="B243" s="117" t="n"/>
      <c r="C243" s="117" t="n"/>
      <c r="D243" s="117" t="n"/>
      <c r="E243" s="117" t="n"/>
      <c r="F243" s="117" t="n"/>
    </row>
    <row r="244" ht="12.75" customHeight="1" s="118">
      <c r="B244" s="117" t="n"/>
      <c r="C244" s="117" t="n"/>
      <c r="D244" s="117" t="n"/>
      <c r="E244" s="117" t="n"/>
      <c r="F244" s="117" t="n"/>
    </row>
    <row r="245" ht="12.75" customHeight="1" s="118">
      <c r="B245" s="117" t="n"/>
      <c r="C245" s="117" t="n"/>
      <c r="D245" s="117" t="n"/>
      <c r="E245" s="117" t="n"/>
      <c r="F245" s="117" t="n"/>
    </row>
    <row r="246" ht="12.75" customHeight="1" s="118">
      <c r="B246" s="117" t="n"/>
      <c r="C246" s="117" t="n"/>
      <c r="D246" s="117" t="n"/>
      <c r="E246" s="117" t="n"/>
      <c r="F246" s="117" t="n"/>
    </row>
    <row r="247" ht="12.75" customHeight="1" s="118">
      <c r="B247" s="117" t="n"/>
      <c r="C247" s="117" t="n"/>
      <c r="D247" s="117" t="n"/>
      <c r="E247" s="117" t="n"/>
      <c r="F247" s="117" t="n"/>
    </row>
    <row r="248" ht="12.75" customHeight="1" s="118">
      <c r="B248" s="117" t="n"/>
      <c r="C248" s="117" t="n"/>
      <c r="D248" s="117" t="n"/>
      <c r="E248" s="117" t="n"/>
      <c r="F248" s="117" t="n"/>
    </row>
    <row r="249" ht="12.75" customHeight="1" s="118">
      <c r="B249" s="117" t="n"/>
      <c r="C249" s="117" t="n"/>
      <c r="D249" s="117" t="n"/>
      <c r="E249" s="117" t="n"/>
      <c r="F249" s="117" t="n"/>
    </row>
    <row r="250" ht="12.75" customHeight="1" s="118">
      <c r="B250" s="117" t="n"/>
      <c r="C250" s="117" t="n"/>
      <c r="D250" s="117" t="n"/>
      <c r="E250" s="117" t="n"/>
      <c r="F250" s="117" t="n"/>
    </row>
    <row r="251" ht="12.75" customHeight="1" s="118">
      <c r="C251" s="117" t="n"/>
      <c r="D251" s="117" t="n"/>
      <c r="E251" s="117" t="n"/>
      <c r="F251" s="117" t="n"/>
    </row>
    <row r="252" ht="12.75" customHeight="1" s="118">
      <c r="C252" s="117" t="n"/>
      <c r="D252" s="117" t="n"/>
      <c r="E252" s="117" t="n"/>
      <c r="F252" s="117" t="n"/>
    </row>
    <row r="253" ht="12.75" customHeight="1" s="118">
      <c r="B253" s="117" t="n"/>
      <c r="C253" s="117" t="n"/>
      <c r="D253" s="117" t="n"/>
      <c r="E253" s="117" t="n"/>
      <c r="F253" s="117" t="n"/>
    </row>
    <row r="254" ht="12.75" customHeight="1" s="118">
      <c r="B254" s="117" t="n"/>
      <c r="C254" s="117" t="n"/>
      <c r="D254" s="117" t="n"/>
      <c r="E254" s="117" t="n"/>
      <c r="F254" s="117" t="n"/>
    </row>
    <row r="255" ht="12.75" customHeight="1" s="118">
      <c r="C255" s="117" t="n"/>
      <c r="D255" s="117" t="n"/>
      <c r="E255" s="117" t="n"/>
      <c r="F255" s="117" t="n"/>
    </row>
    <row r="256" ht="12.75" customHeight="1" s="118">
      <c r="C256" s="117" t="n"/>
      <c r="D256" s="117" t="n"/>
      <c r="E256" s="117" t="n"/>
      <c r="F256" s="117" t="n"/>
    </row>
    <row r="257" ht="13.5" customHeight="1" s="118">
      <c r="B257" s="117" t="n"/>
      <c r="C257" s="117" t="n"/>
      <c r="D257" s="117" t="n"/>
      <c r="E257" s="117" t="n"/>
      <c r="F257" s="117" t="n"/>
    </row>
    <row r="258" ht="18" customHeight="1" s="118"/>
    <row r="259" ht="15" customHeight="1" s="118"/>
    <row r="260" ht="15" customHeight="1" s="118"/>
    <row r="262" ht="16.5" customHeight="1" s="118"/>
    <row r="263" ht="16.5" customHeight="1" s="118"/>
    <row r="264" ht="16.5" customHeight="1" s="118"/>
    <row r="267" ht="16.5" customHeight="1" s="118"/>
    <row r="292" ht="12.75" customHeight="1" s="118">
      <c r="C292" s="117" t="n"/>
      <c r="D292" s="117" t="n"/>
      <c r="E292" s="117" t="n"/>
      <c r="F292" s="117" t="n"/>
    </row>
    <row r="293" ht="12.75" customHeight="1" s="118">
      <c r="C293" s="117" t="n"/>
      <c r="D293" s="117" t="n"/>
      <c r="E293" s="117" t="n"/>
      <c r="F293" s="117" t="n"/>
    </row>
    <row r="294" ht="12.75" customHeight="1" s="118">
      <c r="C294" s="117" t="n"/>
      <c r="D294" s="117" t="n"/>
      <c r="E294" s="117" t="n"/>
    </row>
    <row r="295" ht="12.75" customHeight="1" s="118">
      <c r="C295" s="117" t="n"/>
      <c r="D295" s="117" t="n"/>
      <c r="E295" s="117" t="n"/>
    </row>
    <row r="296" ht="12.75" customHeight="1" s="118">
      <c r="C296" s="117" t="n"/>
      <c r="D296" s="117" t="n"/>
      <c r="E296" s="117" t="n"/>
    </row>
    <row r="297" ht="12.75" customHeight="1" s="118">
      <c r="C297" s="117" t="n"/>
      <c r="D297" s="117" t="n"/>
      <c r="E297" s="117" t="n"/>
    </row>
    <row r="298" ht="12.75" customHeight="1" s="118">
      <c r="C298" s="117" t="n"/>
      <c r="D298" s="117" t="n"/>
      <c r="E298" s="117" t="n"/>
    </row>
    <row r="299" ht="12.75" customHeight="1" s="118">
      <c r="C299" s="117" t="n"/>
      <c r="D299" s="117" t="n"/>
      <c r="E299" s="117" t="n"/>
    </row>
    <row r="300" ht="12.75" customHeight="1" s="118">
      <c r="C300" s="117" t="n"/>
      <c r="D300" s="117" t="n"/>
      <c r="E300" s="117" t="n"/>
    </row>
    <row r="301" ht="12.75" customHeight="1" s="118">
      <c r="C301" s="117" t="n"/>
      <c r="D301" s="117" t="n"/>
      <c r="E301" s="117" t="n"/>
    </row>
    <row r="302" ht="12.75" customHeight="1" s="118">
      <c r="C302" s="117" t="n"/>
      <c r="D302" s="117" t="n"/>
      <c r="E302" s="117" t="n"/>
    </row>
    <row r="303" ht="12.75" customHeight="1" s="118">
      <c r="C303" s="117" t="n"/>
      <c r="D303" s="117" t="n"/>
      <c r="E303" s="117" t="n"/>
    </row>
    <row r="304" ht="12.75" customHeight="1" s="118">
      <c r="C304" s="117" t="n"/>
      <c r="D304" s="117" t="n"/>
      <c r="E304" s="117" t="n"/>
    </row>
    <row r="305" ht="12.75" customHeight="1" s="118">
      <c r="C305" s="117" t="n"/>
      <c r="D305" s="117" t="n"/>
      <c r="E305" s="117" t="n"/>
    </row>
    <row r="306" ht="12.75" customHeight="1" s="118">
      <c r="C306" s="117" t="n"/>
      <c r="D306" s="117" t="n"/>
      <c r="E306" s="117" t="n"/>
    </row>
    <row r="307" ht="12.75" customHeight="1" s="118">
      <c r="C307" s="117" t="n"/>
      <c r="D307" s="117" t="n"/>
      <c r="E307" s="117" t="n"/>
    </row>
    <row r="308" ht="12.75" customHeight="1" s="118">
      <c r="C308" s="117" t="n"/>
      <c r="D308" s="117" t="n"/>
      <c r="E308" s="117" t="n"/>
    </row>
    <row r="309" ht="12.75" customHeight="1" s="118">
      <c r="C309" s="117" t="n"/>
      <c r="D309" s="117" t="n"/>
      <c r="E309" s="117" t="n"/>
    </row>
    <row r="310" ht="12.75" customHeight="1" s="118">
      <c r="C310" s="117" t="n"/>
      <c r="D310" s="117" t="n"/>
      <c r="E310" s="117" t="n"/>
    </row>
    <row r="311" ht="12.75" customHeight="1" s="118">
      <c r="C311" s="117" t="n"/>
      <c r="D311" s="117" t="n"/>
      <c r="E311" s="117" t="n"/>
    </row>
    <row r="312" ht="12.75" customHeight="1" s="118">
      <c r="C312" s="117" t="n"/>
      <c r="D312" s="117" t="n"/>
      <c r="E312" s="117" t="n"/>
    </row>
    <row r="313" ht="12.75" customHeight="1" s="118">
      <c r="C313" s="117" t="n"/>
      <c r="D313" s="117" t="n"/>
      <c r="E313" s="117" t="n"/>
    </row>
    <row r="314" ht="12.75" customHeight="1" s="118">
      <c r="C314" s="117" t="n"/>
      <c r="D314" s="117" t="n"/>
      <c r="E314" s="117" t="n"/>
    </row>
    <row r="315" ht="12.75" customHeight="1" s="118">
      <c r="C315" s="117" t="n"/>
      <c r="D315" s="117" t="n"/>
      <c r="E315" s="117" t="n"/>
    </row>
    <row r="316" ht="12.75" customHeight="1" s="118">
      <c r="C316" s="117" t="n"/>
      <c r="D316" s="117" t="n"/>
      <c r="E316" s="117" t="n"/>
    </row>
    <row r="317" ht="12.75" customHeight="1" s="118">
      <c r="C317" s="117" t="n"/>
      <c r="D317" s="117" t="n"/>
      <c r="E317" s="117" t="n"/>
    </row>
    <row r="318" ht="12.75" customHeight="1" s="118">
      <c r="C318" s="117" t="n"/>
      <c r="D318" s="117" t="n"/>
      <c r="E318" s="117" t="n"/>
    </row>
    <row r="319" ht="12.75" customHeight="1" s="118">
      <c r="C319" s="117" t="n"/>
      <c r="D319" s="117" t="n"/>
      <c r="E319" s="117" t="n"/>
    </row>
    <row r="320" ht="12.75" customHeight="1" s="118">
      <c r="C320" s="117" t="n"/>
      <c r="D320" s="117" t="n"/>
      <c r="E320" s="117" t="n"/>
    </row>
    <row r="321" ht="12.75" customHeight="1" s="118">
      <c r="C321" s="117" t="n"/>
      <c r="D321" s="117" t="n"/>
      <c r="E321" s="117" t="n"/>
    </row>
    <row r="322" ht="12.75" customHeight="1" s="118">
      <c r="C322" s="117" t="n"/>
      <c r="D322" s="117" t="n"/>
      <c r="E322" s="117" t="n"/>
    </row>
    <row r="323" ht="12.75" customHeight="1" s="118">
      <c r="C323" s="117" t="n"/>
      <c r="D323" s="117" t="n"/>
      <c r="E323" s="117" t="n"/>
    </row>
    <row r="324" ht="12.75" customHeight="1" s="118">
      <c r="C324" s="117" t="n"/>
      <c r="D324" s="117" t="n"/>
      <c r="E324" s="117" t="n"/>
    </row>
    <row r="325" ht="12.75" customHeight="1" s="118">
      <c r="C325" s="117" t="n"/>
      <c r="D325" s="117" t="n"/>
      <c r="E325" s="117" t="n"/>
    </row>
    <row r="326" ht="12.75" customHeight="1" s="118">
      <c r="C326" s="117" t="n"/>
      <c r="D326" s="117" t="n"/>
      <c r="E326" s="117" t="n"/>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rank="0" priority="2" equalAverage="0" aboveAverage="0" dxfId="0" text="" percent="0" bottom="0">
      <formula>NOT(ISERROR(SEARCH("é;è",E30)))</formula>
    </cfRule>
    <cfRule type="expression" rank="0" priority="3" equalAverage="0" aboveAverage="0" dxfId="1" text="" percent="0" bottom="0">
      <formula>"SUM(--(MID(E30,ROW(INDIRECT(""1:""&amp;LEN(E30))),1)={""a"",""b"",""c"",""d"",""e"",""f"",""g"",""h"",""i"",""j"",""k"",""l"",""m"",""n"",""o"",""p"",""q"",""r"",""s"",""t"",""u"",""v"",""w"",""x"",""y"",""z"",""0"",""1"",""2"",""3"",""4"",""5"",""6"",""7"",""8"",""9"","" ""}))&lt;&gt;LEN(E30)"</formula>
    </cfRule>
  </conditionalFormatting>
  <dataValidations count="7">
    <dataValidation sqref="F55:F230" showErrorMessage="1" showDropDown="0" showInputMessage="0" allowBlank="1" error="Please only select" prompt="&#10;" errorStyle="stop" operator="between">
      <formula1>0</formula1>
      <formula2>0</formula2>
    </dataValidation>
    <dataValidation sqref="E55:E230" showErrorMessage="1" showDropDown="0" showInputMessage="0" allowBlank="1" errorStyle="stop" operator="between">
      <formula1>0</formula1>
      <formula2>0</formula2>
    </dataValidation>
    <dataValidation sqref="H2:H5" showErrorMessage="1" showDropDown="0" showInputMessage="0" allowBlank="1" type="list" errorStyle="stop" operator="between">
      <formula1>"English,Français"</formula1>
      <formula2>0</formula2>
    </dataValidation>
    <dataValidation sqref="C30:C230" showErrorMessage="1" showDropDown="0" showInputMessage="0" allowBlank="1" type="list" errorStyle="stop" operator="between">
      <formula1>INDIRECT($B30)</formula1>
      <formula2>0</formula2>
    </dataValidation>
    <dataValidation sqref="D30:D230" showErrorMessage="1" showDropDown="0" showInputMessage="0" allowBlank="1" type="list" errorStyle="stop" operator="between">
      <formula1>INDIRECT($B30&amp;$C30)</formula1>
      <formula2>0</formula2>
    </dataValidation>
    <dataValidation sqref="B30:B230" showErrorMessage="1" showDropDown="0" showInputMessage="0" allowBlank="1" type="list" errorStyle="stop" operator="between">
      <formula1>Products</formula1>
      <formula2>0</formula2>
    </dataValidation>
    <dataValidation sqref="G12:H12" showErrorMessage="1" showDropDown="0" showInputMessage="0" allowBlank="1" type="list" errorStyle="stop" operator="between">
      <formula1>PAYS</formula1>
      <formula2>0</formula2>
    </dataValidation>
  </dataValidations>
  <printOptions horizontalCentered="0" verticalCentered="0" headings="0" gridLines="0" gridLinesSet="1"/>
  <pageMargins left="0.25" right="0.25" top="0.75" bottom="0.75" header="0.511811023622047" footer="0.511811023622047"/>
  <pageSetup orientation="landscape" paperSize="1" scale="100" fitToHeight="0" fitToWidth="1" pageOrder="downThenOver" blackAndWhite="0" draft="0" horizontalDpi="300" verticalDpi="300" copies="1"/>
</worksheet>
</file>

<file path=xl/worksheets/sheet2.xml><?xml version="1.0" encoding="utf-8"?>
<worksheet xmlns="http://schemas.openxmlformats.org/spreadsheetml/2006/main">
  <sheetPr filterMode="0">
    <tabColor rgb="FF333399"/>
    <outlinePr summaryBelow="1" summaryRight="1"/>
    <pageSetUpPr fitToPage="0"/>
  </sheetPr>
  <dimension ref="A1:AP65"/>
  <sheetViews>
    <sheetView showFormulas="0" showGridLines="1" showRowColHeaders="1" showZeros="1" rightToLeft="0" tabSelected="0" showOutlineSymbols="1" defaultGridColor="1" view="normal" topLeftCell="A1" colorId="64" zoomScale="70" zoomScaleNormal="70" zoomScalePageLayoutView="100" workbookViewId="0">
      <selection pane="topLeft" activeCell="A12" activeCellId="1" sqref="G16:H18 A12"/>
    </sheetView>
  </sheetViews>
  <sheetFormatPr baseColWidth="8" defaultColWidth="9.13671875" defaultRowHeight="12.75" zeroHeight="0" outlineLevelRow="0"/>
  <cols>
    <col width="29.1" customWidth="1" style="117" min="2" max="2"/>
    <col width="28.81" customWidth="1" style="117" min="11" max="11"/>
    <col width="28.81" customWidth="1" style="117" min="19" max="19"/>
    <col width="28.65" customWidth="1" style="117" min="23" max="23"/>
    <col width="10.54" customWidth="1" style="117" min="24" max="24"/>
  </cols>
  <sheetData>
    <row r="1" ht="12.75" customHeight="1" s="118">
      <c r="A1" s="124" t="n"/>
      <c r="B1" s="122" t="n"/>
      <c r="O1" s="124" t="n"/>
      <c r="P1" s="124" t="n"/>
      <c r="Q1" s="124" t="n"/>
      <c r="R1" s="124" t="n"/>
      <c r="S1" s="124" t="n"/>
      <c r="T1" s="124" t="n"/>
      <c r="U1" s="124" t="n"/>
      <c r="V1" s="124" t="n"/>
      <c r="W1" s="124" t="n"/>
      <c r="X1" s="124" t="n"/>
      <c r="Y1" s="124" t="n"/>
      <c r="Z1" s="181" t="n"/>
    </row>
    <row r="2" ht="12.75" customHeight="1" s="118">
      <c r="A2" s="124" t="n"/>
      <c r="O2" s="124" t="n"/>
      <c r="P2" s="124" t="n"/>
      <c r="Q2" s="124" t="n"/>
      <c r="R2" s="124" t="n"/>
      <c r="S2" s="124" t="n"/>
      <c r="T2" s="124" t="n"/>
      <c r="U2" s="124" t="n"/>
      <c r="V2" s="124" t="n"/>
      <c r="W2" s="124" t="n"/>
      <c r="X2" s="124" t="n"/>
      <c r="Y2" s="124" t="n"/>
    </row>
    <row r="3" ht="12.75" customHeight="1" s="118">
      <c r="A3" s="124" t="n"/>
      <c r="O3" s="124" t="n"/>
      <c r="P3" s="124" t="n"/>
      <c r="Q3" s="124" t="n"/>
      <c r="R3" s="124" t="n"/>
      <c r="S3" s="124" t="n"/>
      <c r="T3" s="124" t="n"/>
      <c r="U3" s="124" t="n"/>
      <c r="V3" s="124" t="n"/>
      <c r="W3" s="124" t="n"/>
      <c r="X3" s="124" t="n"/>
      <c r="Y3" s="124" t="n"/>
    </row>
    <row r="4" ht="12.75" customHeight="1" s="118">
      <c r="A4" s="124" t="n"/>
      <c r="O4" s="124" t="n"/>
      <c r="P4" s="124" t="n"/>
      <c r="Q4" s="124" t="n"/>
      <c r="R4" s="124" t="n"/>
      <c r="S4" s="124" t="n"/>
      <c r="T4" s="124" t="n"/>
      <c r="U4" s="124" t="n"/>
      <c r="V4" s="124" t="n"/>
      <c r="W4" s="124" t="n"/>
      <c r="X4" s="124" t="n"/>
      <c r="Y4" s="124" t="n"/>
    </row>
    <row r="5" ht="11.25" customHeight="1" s="118">
      <c r="A5" s="124" t="n"/>
      <c r="B5" s="124" t="n"/>
      <c r="C5" s="124" t="n"/>
      <c r="D5" s="124" t="n"/>
      <c r="E5" s="124" t="n"/>
      <c r="F5" s="182" t="n"/>
      <c r="G5" s="124" t="n"/>
      <c r="H5" s="124" t="n"/>
      <c r="I5" s="124" t="n"/>
      <c r="J5" s="124" t="n"/>
      <c r="K5" s="124" t="n"/>
      <c r="L5" s="124" t="n"/>
      <c r="M5" s="124" t="n"/>
      <c r="N5" s="124" t="n"/>
      <c r="O5" s="124" t="n"/>
      <c r="P5" s="124" t="n"/>
      <c r="Q5" s="124" t="n"/>
      <c r="R5" s="124" t="n"/>
      <c r="S5" s="124" t="n"/>
      <c r="T5" s="124" t="n"/>
      <c r="U5" s="124" t="n"/>
      <c r="V5" s="124" t="n"/>
      <c r="W5" s="124" t="n"/>
      <c r="X5" s="124" t="n"/>
      <c r="Y5" s="124" t="n"/>
    </row>
    <row r="6" ht="34.5" customHeight="1" s="118">
      <c r="A6" s="124" t="n"/>
      <c r="B6" s="183">
        <f>IF('My order'!H2="English","TOTAL PRODUCTS","TOTAL PRODUITS")</f>
        <v/>
      </c>
      <c r="C6" s="184">
        <f>C37+C48+L37+L48+T37+C60+T60</f>
        <v/>
      </c>
      <c r="D6" s="124" t="n"/>
      <c r="E6" s="182">
        <f>IF('My order'!H2="English","Summary","Récapitulatif")</f>
        <v/>
      </c>
      <c r="F6" s="182" t="n"/>
      <c r="G6" s="124" t="n"/>
      <c r="H6" s="124" t="n"/>
      <c r="I6" s="124" t="n"/>
      <c r="J6" s="124" t="n"/>
      <c r="K6" s="124" t="n"/>
      <c r="L6" s="124" t="n"/>
      <c r="M6" s="124" t="n"/>
      <c r="N6" s="124" t="n"/>
      <c r="O6" s="124" t="n"/>
      <c r="P6" s="124" t="n"/>
      <c r="Q6" s="124" t="n"/>
      <c r="R6" s="124" t="n"/>
      <c r="S6" s="124" t="n"/>
      <c r="T6" s="124" t="n"/>
      <c r="U6" s="124" t="n"/>
      <c r="V6" s="124" t="n"/>
      <c r="W6" s="124" t="n"/>
      <c r="X6" s="124" t="n"/>
      <c r="Y6" s="124" t="n"/>
    </row>
    <row r="7" ht="11.25" customHeight="1" s="118">
      <c r="A7" s="124" t="n"/>
      <c r="B7" s="185" t="n"/>
      <c r="C7" s="186" t="n"/>
      <c r="D7" s="124" t="n"/>
      <c r="E7" s="124" t="n"/>
      <c r="F7" s="182" t="n"/>
      <c r="G7" s="124" t="n"/>
      <c r="H7" s="124" t="n"/>
      <c r="I7" s="124" t="n"/>
      <c r="J7" s="124" t="n"/>
      <c r="K7" s="124" t="n"/>
      <c r="L7" s="124" t="n"/>
      <c r="M7" s="124" t="n"/>
      <c r="N7" s="124" t="n"/>
      <c r="O7" s="124" t="n"/>
      <c r="P7" s="124" t="n"/>
      <c r="Q7" s="124" t="n"/>
      <c r="R7" s="124" t="n"/>
      <c r="S7" s="124" t="n"/>
      <c r="T7" s="124" t="n"/>
      <c r="U7" s="124" t="n"/>
      <c r="V7" s="124" t="n"/>
      <c r="W7" s="124" t="n"/>
      <c r="X7" s="124" t="n"/>
      <c r="Y7" s="124" t="n"/>
    </row>
    <row r="8" ht="12.75" customHeight="1" s="118">
      <c r="A8" s="124" t="n"/>
      <c r="B8" s="187">
        <f>IF('My order'!H2="English","Men's tops by size and type","Hauts Homme par taille et type")</f>
        <v/>
      </c>
      <c r="C8" s="131" t="n"/>
      <c r="D8" s="131" t="n"/>
      <c r="E8" s="131" t="n"/>
      <c r="F8" s="131" t="n"/>
      <c r="G8" s="131" t="n"/>
      <c r="H8" s="131" t="n"/>
      <c r="I8" s="132" t="n"/>
      <c r="J8" s="188" t="n"/>
      <c r="K8" s="187">
        <f>IF('My order'!H2="English","Women's tops by size and type","Hauts Femme par taille et type")</f>
        <v/>
      </c>
      <c r="L8" s="131" t="n"/>
      <c r="M8" s="131" t="n"/>
      <c r="N8" s="131" t="n"/>
      <c r="O8" s="131" t="n"/>
      <c r="P8" s="131" t="n"/>
      <c r="Q8" s="132" t="n"/>
      <c r="R8" s="124" t="n"/>
      <c r="S8" s="189">
        <f>IF('My order'!H2="English","Kid's products by size and type","Produits Enfant par taille et type")</f>
        <v/>
      </c>
      <c r="W8" s="124" t="n"/>
      <c r="X8" s="124" t="n"/>
      <c r="Y8" s="124" t="n"/>
    </row>
    <row r="9" ht="12.75" customHeight="1" s="118">
      <c r="A9" s="124" t="n"/>
      <c r="B9" s="190">
        <f>IF('My order'!H2="English","Product","Produit")</f>
        <v/>
      </c>
      <c r="C9" s="191">
        <f>IF('My order'!H2="English","Quantity","Quantité")</f>
        <v/>
      </c>
      <c r="D9" s="131" t="n"/>
      <c r="E9" s="131" t="n"/>
      <c r="F9" s="131" t="n"/>
      <c r="G9" s="131" t="n"/>
      <c r="H9" s="131" t="n"/>
      <c r="I9" s="132" t="n"/>
      <c r="J9" s="192" t="n"/>
      <c r="K9" s="190">
        <f>IF('My order'!H2="English","Product","Produit")</f>
        <v/>
      </c>
      <c r="L9" s="190" t="n"/>
      <c r="M9" s="191">
        <f>IF('My order'!H2="English","Quantity","Quantité")</f>
        <v/>
      </c>
      <c r="N9" s="131" t="n"/>
      <c r="O9" s="131" t="n"/>
      <c r="P9" s="131" t="n"/>
      <c r="Q9" s="132" t="n"/>
      <c r="R9" s="124" t="n"/>
      <c r="S9" s="190">
        <f>IF('My order'!H2="English","Product","Produit")</f>
        <v/>
      </c>
      <c r="T9" s="191">
        <f>IF('My order'!H2="English","Quantity","Quantité")</f>
        <v/>
      </c>
      <c r="U9" s="131" t="n"/>
      <c r="V9" s="132" t="n"/>
      <c r="W9" s="124" t="n"/>
      <c r="X9" s="124" t="n"/>
      <c r="Y9" s="124" t="n"/>
    </row>
    <row r="10" ht="12.75" customHeight="1" s="118">
      <c r="A10" s="124" t="n"/>
      <c r="B10" s="193" t="n"/>
      <c r="C10" s="194" t="inlineStr">
        <is>
          <t>XS</t>
        </is>
      </c>
      <c r="D10" s="194" t="inlineStr">
        <is>
          <t>S</t>
        </is>
      </c>
      <c r="E10" s="194" t="inlineStr">
        <is>
          <t>M</t>
        </is>
      </c>
      <c r="F10" s="194" t="inlineStr">
        <is>
          <t>L</t>
        </is>
      </c>
      <c r="G10" s="194" t="inlineStr">
        <is>
          <t>XL</t>
        </is>
      </c>
      <c r="H10" s="194" t="inlineStr">
        <is>
          <t>XXL</t>
        </is>
      </c>
      <c r="I10" s="194" t="inlineStr">
        <is>
          <t>XXXL</t>
        </is>
      </c>
      <c r="J10" s="195" t="n"/>
      <c r="K10" s="193" t="n"/>
      <c r="L10" s="190" t="inlineStr">
        <is>
          <t>XS</t>
        </is>
      </c>
      <c r="M10" s="194" t="inlineStr">
        <is>
          <t>S</t>
        </is>
      </c>
      <c r="N10" s="194" t="inlineStr">
        <is>
          <t>M</t>
        </is>
      </c>
      <c r="O10" s="194" t="inlineStr">
        <is>
          <t>L</t>
        </is>
      </c>
      <c r="P10" s="194" t="inlineStr">
        <is>
          <t>XL</t>
        </is>
      </c>
      <c r="Q10" s="194" t="inlineStr">
        <is>
          <t>XXL</t>
        </is>
      </c>
      <c r="R10" s="124" t="n"/>
      <c r="S10" s="193" t="n"/>
      <c r="T10" s="194">
        <f>IF('My order'!H2="English","6 yo","6 ans")</f>
        <v/>
      </c>
      <c r="U10" s="194">
        <f>IF('My order'!H2="English","8 yo","8 ans")</f>
        <v/>
      </c>
      <c r="V10" s="194">
        <f>IF('My order'!H2="English","10 yo","10 ans")</f>
        <v/>
      </c>
      <c r="W10" s="124" t="n"/>
      <c r="X10" s="124" t="n"/>
      <c r="Y10" s="124" t="n"/>
    </row>
    <row r="11" ht="12.75" customHeight="1" s="118">
      <c r="A11" s="124" t="n"/>
      <c r="B11" s="196" t="inlineStr">
        <is>
          <t>Airez</t>
        </is>
      </c>
      <c r="C11" s="197">
        <f>SUMPRODUCT(--('My order'!$B30:$B230="Airez"),--('My order'!$C30:$C230="Man"),--('My order'!$D30:$D230="XS"))</f>
        <v/>
      </c>
      <c r="D11" s="197">
        <f>SUMPRODUCT(--('My order'!$B30:$B230="Airez"),--('My order'!$C30:$C230="Man"),--('My order'!$D30:$D230="S"))</f>
        <v/>
      </c>
      <c r="E11" s="197">
        <f>SUMPRODUCT(--('My order'!$B30:$B230="Airez"),--('My order'!$C30:$C230="Man"),--('My order'!$D30:$D230="M"))</f>
        <v/>
      </c>
      <c r="F11" s="197">
        <f>SUMPRODUCT(--('My order'!$B30:$B230="Airez"),--('My order'!$C30:$C230="Man"),--('My order'!$D30:$D230="L"))</f>
        <v/>
      </c>
      <c r="G11" s="197">
        <f>SUMPRODUCT(--('My order'!$B30:$B230="Airez"),--('My order'!$C30:$C230="Man"),--('My order'!$D30:$D230="XL"))</f>
        <v/>
      </c>
      <c r="H11" s="197">
        <f>SUMPRODUCT(--('My order'!$B30:$B230="Airez"),--('My order'!$C30:$C230="Man"),--('My order'!$D30:$D230="XXL"))</f>
        <v/>
      </c>
      <c r="I11" s="197">
        <f>SUMPRODUCT(--('My order'!$B30:$B230="Airez"),--('My order'!$C30:$C230="Man"),--('My order'!$D30:$D230="XXXL"))</f>
        <v/>
      </c>
      <c r="J11" s="198" t="n"/>
      <c r="K11" s="196" t="inlineStr">
        <is>
          <t>Airez</t>
        </is>
      </c>
      <c r="L11" s="199" t="n"/>
      <c r="M11" s="197">
        <f>SUMPRODUCT(--('My order'!$B30:$B230="Airez"),--('My order'!$C30:$C230="Woman"),--('My order'!$D30:$D230="S"))</f>
        <v/>
      </c>
      <c r="N11" s="197">
        <f>SUMPRODUCT(--('My order'!$B30:$B230="Airez"),--('My order'!$C30:$C230="Woman"),--('My order'!$D30:$D230="M"))</f>
        <v/>
      </c>
      <c r="O11" s="197">
        <f>SUMPRODUCT(--('My order'!$B30:$B230="Airez"),--('My order'!$C30:$C230="Woman"),--('My order'!$D30:$D230="L"))</f>
        <v/>
      </c>
      <c r="P11" s="197">
        <f>SUMPRODUCT(--('My order'!$B30:$B230="Airez"),--('My order'!$C30:$C230="Woman"),--('My order'!$D30:$D230="XL"))</f>
        <v/>
      </c>
      <c r="Q11" s="197">
        <f>SUMPRODUCT(--('My order'!$B30:$B230="Airez"),--('My order'!$C30:$C230="Woman"),--('My order'!$D30:$D230="XXL"))</f>
        <v/>
      </c>
      <c r="R11" s="124" t="n"/>
      <c r="S11" s="196" t="inlineStr">
        <is>
          <t>Airez</t>
        </is>
      </c>
      <c r="T11" s="197">
        <f>SUMPRODUCT(--('My order'!$B30:$B230="Airez"),--('My order'!$C30:$C230="Kid"),--('My order'!$D30:$D230=6))</f>
        <v/>
      </c>
      <c r="U11" s="197">
        <f>SUMPRODUCT(--('My order'!$B30:$B230="Airez"),--('My order'!$C30:$C230="Kid"),--('My order'!$D30:$D230=8))</f>
        <v/>
      </c>
      <c r="V11" s="197">
        <f>SUMPRODUCT(--('My order'!$B30:$B230="Airez"),--('My order'!$C30:$C230="Kid"),--('My order'!$D30:$D230=10))</f>
        <v/>
      </c>
      <c r="W11" s="124" t="n"/>
      <c r="X11" s="124" t="n"/>
      <c r="Y11" s="124" t="n"/>
    </row>
    <row r="12" ht="12.75" customHeight="1" s="118">
      <c r="A12" s="124" t="n"/>
      <c r="B12" s="200" t="inlineStr">
        <is>
          <t>Argia</t>
        </is>
      </c>
      <c r="C12" s="199" t="n"/>
      <c r="D12" s="197">
        <f>SUMPRODUCT(--('My order'!$B30:$B230="Argia"),--('My order'!$C30:$C230="Man"),--('My order'!$D30:$D230="S"))</f>
        <v/>
      </c>
      <c r="E12" s="197">
        <f>SUMPRODUCT(--('My order'!$B30:$B230="Argia"),--('My order'!$C30:$C230="Man"),--('My order'!$D30:$D230="M"))</f>
        <v/>
      </c>
      <c r="F12" s="197">
        <f>SUMPRODUCT(--('My order'!$B30:$B230="Argia"),--('My order'!$C30:$C230="Man"),--('My order'!$D30:$D230="L"))</f>
        <v/>
      </c>
      <c r="G12" s="197">
        <f>SUMPRODUCT(--('My order'!$B30:$B230="Argia"),--('My order'!$C30:$C230="Man"),--('My order'!$D30:$D230="XL"))</f>
        <v/>
      </c>
      <c r="H12" s="197">
        <f>SUMPRODUCT(--('My order'!$B30:$B230="Argia"),--('My order'!$C30:$C230="Man"),--('My order'!$D30:$D230="XXL"))</f>
        <v/>
      </c>
      <c r="I12" s="199" t="n"/>
      <c r="J12" s="198" t="n"/>
      <c r="K12" s="200" t="inlineStr">
        <is>
          <t>Argia</t>
        </is>
      </c>
      <c r="L12" s="199" t="n"/>
      <c r="M12" s="197">
        <f>SUMPRODUCT(--('My order'!$B30:$B230="Argia"),--('My order'!$C30:$C230="Woman"),--('My order'!$D30:$D230="S"))</f>
        <v/>
      </c>
      <c r="N12" s="197">
        <f>SUMPRODUCT(--('My order'!$B30:$B230="Argia"),--('My order'!$C30:$C230="Woman"),--('My order'!$D30:$D230="M"))</f>
        <v/>
      </c>
      <c r="O12" s="197">
        <f>SUMPRODUCT(--('My order'!$B30:$B230="Argia"),--('My order'!$C30:$C230="Woman"),--('My order'!$D30:$D230="L"))</f>
        <v/>
      </c>
      <c r="P12" s="197">
        <f>SUMPRODUCT(--('My order'!$B30:$B230="Argia"),--('My order'!$C30:$C230="Woman"),--('My order'!$D30:$D230="XL"))</f>
        <v/>
      </c>
      <c r="Q12" s="199" t="n"/>
      <c r="R12" s="124" t="n"/>
      <c r="S12" s="200" t="inlineStr">
        <is>
          <t>Argia</t>
        </is>
      </c>
      <c r="T12" s="199" t="n"/>
      <c r="U12" s="199" t="n"/>
      <c r="V12" s="199" t="n"/>
      <c r="W12" s="124" t="n"/>
      <c r="X12" s="124" t="n"/>
      <c r="Y12" s="124" t="n"/>
    </row>
    <row r="13" ht="12.75" customHeight="1" s="118">
      <c r="A13" s="124" t="n"/>
      <c r="B13" s="200" t="inlineStr">
        <is>
          <t>Azkar</t>
        </is>
      </c>
      <c r="C13" s="197">
        <f>SUMPRODUCT(--('My order'!$B30:$B230="Azkar"),--('My order'!$C30:$C230="Man"),--('My order'!$D30:$D230="XS"))</f>
        <v/>
      </c>
      <c r="D13" s="197">
        <f>SUMPRODUCT(--('My order'!$B30:$B230="Azkar"),--('My order'!$C30:$C230="Man"),--('My order'!$D30:$D230="S"))</f>
        <v/>
      </c>
      <c r="E13" s="197">
        <f>SUMPRODUCT(--('My order'!$B30:$B230="Azkar"),--('My order'!$C30:$C230="Man"),--('My order'!$D30:$D230="M"))</f>
        <v/>
      </c>
      <c r="F13" s="197">
        <f>SUMPRODUCT(--('My order'!$B30:$B230="Azkar"),--('My order'!$C30:$C230="Man"),--('My order'!$D30:$D230="L"))</f>
        <v/>
      </c>
      <c r="G13" s="197">
        <f>SUMPRODUCT(--('My order'!$B30:$B230="Azkar"),--('My order'!$C30:$C230="Man"),--('My order'!$D30:$D230="XL"))</f>
        <v/>
      </c>
      <c r="H13" s="197">
        <f>SUMPRODUCT(--('My order'!$B30:$B230="Azkar"),--('My order'!$C30:$C230="Man"),--('My order'!$D30:$D230="XXL"))</f>
        <v/>
      </c>
      <c r="I13" s="197">
        <f>SUMPRODUCT(--('My order'!$B30:$B230="Azkar"),--('My order'!$C30:$C230="Man"),--('My order'!$D30:$D230="XXXL"))</f>
        <v/>
      </c>
      <c r="J13" s="198" t="n"/>
      <c r="K13" s="200" t="inlineStr">
        <is>
          <t>Azkar</t>
        </is>
      </c>
      <c r="L13" s="199" t="n"/>
      <c r="M13" s="197">
        <f>SUMPRODUCT(--('My order'!$B30:$B230="Azkar"),--('My order'!$C30:$C230="Woman"),--('My order'!$D30:$D230="S"))</f>
        <v/>
      </c>
      <c r="N13" s="197">
        <f>SUMPRODUCT(--('My order'!$B30:$B230="Azkar"),--('My order'!$C30:$C230="Woman"),--('My order'!$D30:$D230="M"))</f>
        <v/>
      </c>
      <c r="O13" s="197">
        <f>SUMPRODUCT(--('My order'!$B30:$B230="Azkar"),--('My order'!$C30:$C230="Woman"),--('My order'!$D30:$D230="L"))</f>
        <v/>
      </c>
      <c r="P13" s="197">
        <f>SUMPRODUCT(--('My order'!$B30:$B230="Azkar"),--('My order'!$C30:$C230="Woman"),--('My order'!$D30:$D230="XL"))</f>
        <v/>
      </c>
      <c r="Q13" s="197">
        <f>SUMPRODUCT(--('My order'!$B30:$B230="Azkar"),--('My order'!$C30:$C230="Woman"),--('My order'!$D30:$D230="XXL"))</f>
        <v/>
      </c>
      <c r="R13" s="124" t="n"/>
      <c r="S13" s="200" t="inlineStr">
        <is>
          <t>Azkar</t>
        </is>
      </c>
      <c r="T13" s="197">
        <f>SUMPRODUCT(--('My order'!$B30:$B230="Azkar"),--('My order'!$C30:$C230="Kid"),--('My order'!$D30:$D230=6))</f>
        <v/>
      </c>
      <c r="U13" s="197">
        <f>SUMPRODUCT(--('My order'!$B30:$B230="Azkar"),--('My order'!$C30:$C230="Kid"),--('My order'!$D30:$D230=8))</f>
        <v/>
      </c>
      <c r="V13" s="197">
        <f>SUMPRODUCT(--('My order'!$B30:$B230="Azkar"),--('My order'!$C30:$C230="Kid"),--('My order'!$D30:$D230=10))</f>
        <v/>
      </c>
      <c r="W13" s="124" t="n"/>
      <c r="X13" s="124" t="n"/>
      <c r="Y13" s="124" t="n"/>
    </row>
    <row r="14" ht="12.75" customHeight="1" s="118">
      <c r="A14" s="124" t="n"/>
      <c r="B14" s="200" t="inlineStr">
        <is>
          <t>Azkar Long Sleeves</t>
        </is>
      </c>
      <c r="C14" s="197">
        <f>SUMPRODUCT(--('My order'!$B30:$B230="Azkar_LongSleeves"),--('My order'!$C30:$C230="Man"),--('My order'!$D30:$D230="XS"))</f>
        <v/>
      </c>
      <c r="D14" s="197">
        <f>SUMPRODUCT(--('My order'!$B30:$B230="Azkar_LongSleeves"),--('My order'!$C30:$C230="Man"),--('My order'!$D30:$D230="S"))</f>
        <v/>
      </c>
      <c r="E14" s="197">
        <f>SUMPRODUCT(--('My order'!$B30:$B230="Azkar_LongSleeves"),--('My order'!$C30:$C230="Man"),--('My order'!$D30:$D230="M"))</f>
        <v/>
      </c>
      <c r="F14" s="197">
        <f>SUMPRODUCT(--('My order'!$B30:$B230="Azkar_LongSleeves"),--('My order'!$C30:$C230="Man"),--('My order'!$D30:$D230="L"))</f>
        <v/>
      </c>
      <c r="G14" s="197">
        <f>SUMPRODUCT(--('My order'!$B30:$B230="Azkar_LongSleeves"),--('My order'!$C30:$C230="Man"),--('My order'!$D30:$D230="XL"))</f>
        <v/>
      </c>
      <c r="H14" s="197">
        <f>SUMPRODUCT(--('My order'!$B30:$B230="Azkar_LongSleeves"),--('My order'!$C30:$C230="Man"),--('My order'!$D30:$D230="XXL"))</f>
        <v/>
      </c>
      <c r="I14" s="197">
        <f>SUMPRODUCT(--('My order'!$B30:$B230="Azkar_LongSleeves"),--('My order'!$C30:$C230="Man"),--('My order'!$D30:$D230="XXXL"))</f>
        <v/>
      </c>
      <c r="J14" s="198" t="n"/>
      <c r="K14" s="200" t="inlineStr">
        <is>
          <t>Azkar Long Sleeves</t>
        </is>
      </c>
      <c r="L14" s="199" t="n"/>
      <c r="M14" s="197">
        <f>SUMPRODUCT(--('My order'!$B30:$B230="Azkar_LongSleeves"),--('My order'!$C30:$C230="Woman"),--('My order'!$D30:$D230="S"))</f>
        <v/>
      </c>
      <c r="N14" s="197">
        <f>SUMPRODUCT(--('My order'!$B30:$B230="Azkar_LongSleeves"),--('My order'!$C30:$C230="Woman"),--('My order'!$D30:$D230="M"))</f>
        <v/>
      </c>
      <c r="O14" s="197">
        <f>SUMPRODUCT(--('My order'!$B30:$B230="Azkar_LongSleeves"),--('My order'!$C30:$C230="Woman"),--('My order'!$D30:$D230="L"))</f>
        <v/>
      </c>
      <c r="P14" s="197">
        <f>SUMPRODUCT(--('My order'!$B30:$B230="Azkar_LongSleeves"),--('My order'!$C30:$C230="Woman"),--('My order'!$D30:$D230="Xl"))</f>
        <v/>
      </c>
      <c r="Q14" s="197">
        <f>SUMPRODUCT(--('My order'!$B30:$B230="Azkar_LongSleeves"),--('My order'!$C30:$C230="Woman"),--('My order'!$D30:$D230="XXL"))</f>
        <v/>
      </c>
      <c r="R14" s="124" t="n"/>
      <c r="S14" s="200" t="inlineStr">
        <is>
          <t>Azkar Long Sleeves</t>
        </is>
      </c>
      <c r="T14" s="197">
        <f>SUMPRODUCT(--('My order'!$B30:$B230="Azkar_LongSleeves"),--('My order'!$C30:$C230="Kid"),--('My order'!$D30:$D230=6))</f>
        <v/>
      </c>
      <c r="U14" s="197">
        <f>SUMPRODUCT(--('My order'!$B30:$B230="Azkar_LongSleeves"),--('My order'!$C30:$C230="Kid"),--('My order'!$D30:$D230=8))</f>
        <v/>
      </c>
      <c r="V14" s="197">
        <f>SUMPRODUCT(--('My order'!$B30:$B230="Azkar_LongSleeves"),--('My order'!$C30:$C230="Kid"),--('My order'!$D30:$D230=10))</f>
        <v/>
      </c>
      <c r="W14" s="124" t="n"/>
      <c r="X14" s="124" t="n"/>
      <c r="Y14" s="124" t="n"/>
    </row>
    <row r="15" ht="12.75" customHeight="1" s="118">
      <c r="A15" s="124" t="n"/>
      <c r="B15" s="200" t="inlineStr">
        <is>
          <t>Casual Tee</t>
        </is>
      </c>
      <c r="C15" s="197">
        <f>SUMPRODUCT(--('My order'!$B30:$B230="Casual_Tee"),--('My order'!$C30:$C230="Man"),--('My order'!$D30:$D230="XS"))</f>
        <v/>
      </c>
      <c r="D15" s="197">
        <f>SUMPRODUCT(--('My order'!$B30:$B230="Casual_Tee"),--('My order'!$C30:$C230="Man"),--('My order'!$D30:$D230="S"))</f>
        <v/>
      </c>
      <c r="E15" s="197">
        <f>SUMPRODUCT(--('My order'!$B30:$B230="Casual_Tee"),--('My order'!$C30:$C230="Man"),--('My order'!$D30:$D230="M"))</f>
        <v/>
      </c>
      <c r="F15" s="197">
        <f>SUMPRODUCT(--('My order'!$B30:$B230="Casual_Tee"),--('My order'!$C30:$C230="Man"),--('My order'!$D30:$D230="L"))</f>
        <v/>
      </c>
      <c r="G15" s="197">
        <f>SUMPRODUCT(--('My order'!$B30:$B230="Casual_Tee"),--('My order'!$C30:$C230="Man"),--('My order'!$D30:$D230="XL"))</f>
        <v/>
      </c>
      <c r="H15" s="197">
        <f>SUMPRODUCT(--('My order'!$B30:$B230="Casual_Tee"),--('My order'!$C30:$C230="Man"),--('My order'!$D30:$D230="XXL"))</f>
        <v/>
      </c>
      <c r="I15" s="199" t="n"/>
      <c r="J15" s="198" t="n"/>
      <c r="K15" s="200" t="inlineStr">
        <is>
          <t>Casual Tee</t>
        </is>
      </c>
      <c r="L15" s="199" t="n"/>
      <c r="M15" s="197">
        <f>SUMPRODUCT(--('My order'!$B30:$B230="Casual_Tee"),--('My order'!$C30:$C230="Woman"),--('My order'!$D30:$D230="S"))</f>
        <v/>
      </c>
      <c r="N15" s="197">
        <f>SUMPRODUCT(--('My order'!$B30:$B230="Casual_Tee"),--('My order'!$C30:$C230="Woman"),--('My order'!$D30:$D230="M"))</f>
        <v/>
      </c>
      <c r="O15" s="197">
        <f>SUMPRODUCT(--('My order'!$B30:$B230="Casual_Tee"),--('My order'!$C30:$C230="Woman"),--('My order'!$D30:$D230="L"))</f>
        <v/>
      </c>
      <c r="P15" s="197">
        <f>SUMPRODUCT(--('My order'!$B30:$B230="Casual_Tee"),--('My order'!$C30:$C230="Woman"),--('My order'!$D30:$D230="XL"))</f>
        <v/>
      </c>
      <c r="Q15" s="197">
        <f>SUMPRODUCT(--('My order'!$B30:$B230="Casual_Tee"),--('My order'!$C30:$C230="Woman"),--('My order'!$D30:$D230="XXL"))</f>
        <v/>
      </c>
      <c r="R15" s="124" t="n"/>
      <c r="S15" s="200" t="inlineStr">
        <is>
          <t>Casual Tee</t>
        </is>
      </c>
      <c r="T15" s="197">
        <f>SUMPRODUCT(--('My order'!$B30:$B230="Casual_Tee"),--('My order'!$C30:$C230="Kid"),--('My order'!$D30:$D230=6))</f>
        <v/>
      </c>
      <c r="U15" s="197">
        <f>SUMPRODUCT(--('My order'!$B30:$B230="Casual_Tee"),--('My order'!$C30:$C230="Kid"),--('My order'!$D30:$D230=8))</f>
        <v/>
      </c>
      <c r="V15" s="197">
        <f>SUMPRODUCT(--('My order'!$B30:$B230="Casual_Tee"),--('My order'!$C30:$C230="Kid"),--('My order'!$D30:$D230=10))</f>
        <v/>
      </c>
      <c r="W15" s="124" t="n"/>
      <c r="X15" s="124" t="n"/>
      <c r="Y15" s="124" t="n"/>
    </row>
    <row r="16" ht="12.75" customHeight="1" s="118">
      <c r="A16" s="124" t="n"/>
      <c r="B16" s="200" t="inlineStr">
        <is>
          <t>Casual Tee Pocket</t>
        </is>
      </c>
      <c r="C16" s="197">
        <f>SUMPRODUCT(--('My order'!$B30:$B230="Casual_Tee_Pocket"),--('My order'!$C30:$C230="Man"),--('My order'!$D30:$D230="XS"))</f>
        <v/>
      </c>
      <c r="D16" s="197">
        <f>SUMPRODUCT(--('My order'!$B30:$B230="Casual_Tee_Pocket"),--('My order'!$C30:$C230="Man"),--('My order'!$D30:$D230="S"))</f>
        <v/>
      </c>
      <c r="E16" s="197">
        <f>SUMPRODUCT(--('My order'!$B30:$B230="Casual_Tee_Pocket"),--('My order'!$C30:$C230="Man"),--('My order'!$D30:$D230="M"))</f>
        <v/>
      </c>
      <c r="F16" s="197">
        <f>SUMPRODUCT(--('My order'!$B30:$B230="Casual_Tee_Pocket"),--('My order'!$C30:$C230="Man"),--('My order'!$D30:$D230="L"))</f>
        <v/>
      </c>
      <c r="G16" s="197">
        <f>SUMPRODUCT(--('My order'!$B30:$B230="Casual_Tee_Pocket"),--('My order'!$C30:$C230="Man"),--('My order'!$D30:$D230="XL"))</f>
        <v/>
      </c>
      <c r="H16" s="197">
        <f>SUMPRODUCT(--('My order'!$B30:$B230="Casual_Tee_Pocket"),--('My order'!$C30:$C230="Man"),--('My order'!$D30:$D230="XXL"))</f>
        <v/>
      </c>
      <c r="I16" s="199" t="n"/>
      <c r="J16" s="198" t="n"/>
      <c r="K16" s="200" t="inlineStr">
        <is>
          <t>Casual Tee Pocket</t>
        </is>
      </c>
      <c r="L16" s="199" t="n"/>
      <c r="M16" s="197">
        <f>SUMPRODUCT(--('My order'!$B30:$B230="Casual_Tee_Pocket"),--('My order'!$C30:$C230="Woman"),--('My order'!$D30:$D230="S"))</f>
        <v/>
      </c>
      <c r="N16" s="197">
        <f>SUMPRODUCT(--('My order'!$B30:$B230="Casual_Tee_Pocket"),--('My order'!$C30:$C230="Woman"),--('My order'!$D30:$D230="M"))</f>
        <v/>
      </c>
      <c r="O16" s="197">
        <f>SUMPRODUCT(--('My order'!$B30:$B230="Casual_Tee_Pocket"),--('My order'!$C30:$C230="Woman"),--('My order'!$D30:$D230="L"))</f>
        <v/>
      </c>
      <c r="P16" s="197">
        <f>SUMPRODUCT(--('My order'!$B30:$B230="Casual_Tee_Pocket"),--('My order'!$C30:$C230="Woman"),--('My order'!$D30:$D230="XL"))</f>
        <v/>
      </c>
      <c r="Q16" s="197">
        <f>SUMPRODUCT(--('My order'!$B30:$B230="Casual_Tee_Pocket"),--('My order'!$C30:$C230="Woman"),--('My order'!$D30:$D230="XXL"))</f>
        <v/>
      </c>
      <c r="R16" s="124" t="n"/>
      <c r="S16" s="200" t="inlineStr">
        <is>
          <t>Casual Tee Pocket</t>
        </is>
      </c>
      <c r="T16" s="197">
        <f>SUMPRODUCT(--('My order'!$B30:$B230="Casual_Tee_Pocket"),--('My order'!$C30:$C230="Kid"),--('My order'!$D30:$D230=6))</f>
        <v/>
      </c>
      <c r="U16" s="197">
        <f>SUMPRODUCT(--('My order'!$B30:$B230="Casual_Tee_Pocket"),--('My order'!$C30:$C230="Kid"),--('My order'!$D30:$D230=8))</f>
        <v/>
      </c>
      <c r="V16" s="197">
        <f>SUMPRODUCT(--('My order'!$B30:$B230="Casual_Tee_Pocket"),--('My order'!$C30:$C230="Kid"),--('My order'!$D30:$D230=10))</f>
        <v/>
      </c>
      <c r="W16" s="124" t="n"/>
      <c r="X16" s="124" t="n"/>
      <c r="Y16" s="124" t="n"/>
    </row>
    <row r="17" ht="12.75" customHeight="1" s="118">
      <c r="A17" s="124" t="n"/>
      <c r="B17" s="200" t="inlineStr">
        <is>
          <t>Compression Top</t>
        </is>
      </c>
      <c r="C17" s="197">
        <f>SUMPRODUCT(--('My order'!$B30:$B230="Compression_Top"),--('My order'!$C30:$C230="Man"),--('My order'!$D30:$D230="XS"))</f>
        <v/>
      </c>
      <c r="D17" s="197">
        <f>SUMPRODUCT(--('My order'!$B30:$B230="Compression_Top"),--('My order'!$C30:$C230="Man"),--('My order'!$D30:$D230="S"))</f>
        <v/>
      </c>
      <c r="E17" s="197">
        <f>SUMPRODUCT(--('My order'!$B30:$B230="Compression_Top"),--('My order'!$C30:$C230="Man"),--('My order'!$D30:$D230="M"))</f>
        <v/>
      </c>
      <c r="F17" s="197">
        <f>SUMPRODUCT(--('My order'!$B30:$B230="Compression_Top"),--('My order'!$C30:$C230="Man"),--('My order'!$D30:$D230="L"))</f>
        <v/>
      </c>
      <c r="G17" s="197">
        <f>SUMPRODUCT(--('My order'!$B30:$B230="Compression_Top"),--('My order'!$C30:$C230="Man"),--('My order'!$D30:$D230="XL"))</f>
        <v/>
      </c>
      <c r="H17" s="197">
        <f>SUMPRODUCT(--('My order'!$B30:$B230="Compression_Top"),--('My order'!$C30:$C230="Man"),--('My order'!$D30:$D230="XXL"))</f>
        <v/>
      </c>
      <c r="I17" s="197">
        <f>SUMPRODUCT(--('My order'!$B30:$B230="Compression_Top"),--('My order'!$C30:$C230="Man"),--('My order'!$D30:$D230="XXXL"))</f>
        <v/>
      </c>
      <c r="J17" s="198" t="n"/>
      <c r="K17" s="200" t="inlineStr">
        <is>
          <t>Compression Top</t>
        </is>
      </c>
      <c r="L17" s="199" t="n"/>
      <c r="M17" s="197">
        <f>SUMPRODUCT(--('My order'!$B30:$B230="Compression_Top"),--('My order'!$C30:$C230="Woman"),--('My order'!$D30:$D230="S"))</f>
        <v/>
      </c>
      <c r="N17" s="197">
        <f>SUMPRODUCT(--('My order'!$B30:$B230="Compression_Top"),--('My order'!$C30:$C230="Woman"),--('My order'!$D30:$D230="M"))</f>
        <v/>
      </c>
      <c r="O17" s="197">
        <f>SUMPRODUCT(--('My order'!$B30:$B230="Compression_Top"),--('My order'!$C30:$C230="Woman"),--('My order'!$D30:$D230="L"))</f>
        <v/>
      </c>
      <c r="P17" s="197">
        <f>SUMPRODUCT(--('My order'!$B30:$B230="Compression_Top"),--('My order'!$C30:$C230="Woman"),--('My order'!$D30:$D230="XL"))</f>
        <v/>
      </c>
      <c r="Q17" s="197">
        <f>SUMPRODUCT(--('My order'!$B30:$B230="Compression_Top"),--('My order'!$C30:$C230="Woman"),--('My order'!$D30:$D230="XXL"))</f>
        <v/>
      </c>
      <c r="R17" s="124" t="n"/>
      <c r="S17" s="200" t="inlineStr">
        <is>
          <t>Compression Top</t>
        </is>
      </c>
      <c r="T17" s="197">
        <f>SUMPRODUCT(--('My order'!$B30:$B230="Compression_Top"),--('My order'!$C30:$C230="Kid"),--('My order'!$D30:$D230=6))</f>
        <v/>
      </c>
      <c r="U17" s="197">
        <f>SUMPRODUCT(--('My order'!$B30:$B230="Compression_Top"),--('My order'!$C30:$C230="Kid"),--('My order'!$D30:$D230=8))</f>
        <v/>
      </c>
      <c r="V17" s="197">
        <f>SUMPRODUCT(--('My order'!$B30:$B230="Compression_Top"),--('My order'!$C30:$C230="Kid"),--('My order'!$D30:$D230=10))</f>
        <v/>
      </c>
      <c r="W17" s="124" t="n"/>
      <c r="X17" s="124" t="n"/>
      <c r="Y17" s="124" t="n"/>
    </row>
    <row r="18" ht="12.75" customHeight="1" s="118">
      <c r="A18" s="124" t="n"/>
      <c r="B18" s="200" t="inlineStr">
        <is>
          <t>Compression Top Long Sleeves</t>
        </is>
      </c>
      <c r="C18" s="197">
        <f>SUMPRODUCT(--('My order'!$B30:$B230="Compression_Top_LongSleeves"),--('My order'!$C30:$C230="Man"),--('My order'!$D30:$D230="XS"))</f>
        <v/>
      </c>
      <c r="D18" s="197">
        <f>SUMPRODUCT(--('My order'!$B30:$B230="Compression_Top_LongSleeves"),--('My order'!$C30:$C230="Man"),--('My order'!$D30:$D230="S"))</f>
        <v/>
      </c>
      <c r="E18" s="197">
        <f>SUMPRODUCT(--('My order'!$B30:$B230="Compression_Top_LongSleeves"),--('My order'!$C30:$C230="Man"),--('My order'!$D30:$D230="M"))</f>
        <v/>
      </c>
      <c r="F18" s="197">
        <f>SUMPRODUCT(--('My order'!$B30:$B230="Compression_Top_LongSleeves"),--('My order'!$C30:$C230="Man"),--('My order'!$D30:$D230="L"))</f>
        <v/>
      </c>
      <c r="G18" s="197">
        <f>SUMPRODUCT(--('My order'!$B30:$B230="Compression_Top_LongSleeves"),--('My order'!$C30:$C230="Man"),--('My order'!$D30:$D230="XL"))</f>
        <v/>
      </c>
      <c r="H18" s="197">
        <f>SUMPRODUCT(--('My order'!$B30:$B230="Compression_Top_LongSleeves"),--('My order'!$C30:$C230="Man"),--('My order'!$D30:$D230="XXL"))</f>
        <v/>
      </c>
      <c r="I18" s="197">
        <f>SUMPRODUCT(--('My order'!$B30:$B230="Compression_Top_LongSleeves"),--('My order'!$C30:$C230="Man"),--('My order'!$D30:$D230="XXXL"))</f>
        <v/>
      </c>
      <c r="J18" s="198" t="n"/>
      <c r="K18" s="200" t="inlineStr">
        <is>
          <t>Compression Top Long Sleeves</t>
        </is>
      </c>
      <c r="L18" s="199" t="n"/>
      <c r="M18" s="197">
        <f>SUMPRODUCT(--('My order'!$B30:$B230="Compression_Top_LongSleeves"),--('My order'!$C30:$C230="Woman"),--('My order'!$D30:$D230="S"))</f>
        <v/>
      </c>
      <c r="N18" s="197">
        <f>SUMPRODUCT(--('My order'!$B30:$B230="Compression_Top_LongSleeves"),--('My order'!$C30:$C230="Woman"),--('My order'!$D30:$D230="M"))</f>
        <v/>
      </c>
      <c r="O18" s="197">
        <f>SUMPRODUCT(--('My order'!$B30:$B230="Compression_Top_LongSleeves"),--('My order'!$C30:$C230="Woman"),--('My order'!$D30:$D230="L"))</f>
        <v/>
      </c>
      <c r="P18" s="197">
        <f>SUMPRODUCT(--('My order'!$B30:$B230="Compression_Top_LongSleeves"),--('My order'!$C30:$C230="Woman"),--('My order'!$D30:$D230="XL"))</f>
        <v/>
      </c>
      <c r="Q18" s="197">
        <f>SUMPRODUCT(--('My order'!$B30:$B230="Compression_Top_LongSleeves"),--('My order'!$C30:$C230="Woman"),--('My order'!$D30:$D230="XXL"))</f>
        <v/>
      </c>
      <c r="R18" s="124" t="n"/>
      <c r="S18" s="200" t="inlineStr">
        <is>
          <t>Compression Top Long Sleeves</t>
        </is>
      </c>
      <c r="T18" s="197">
        <f>SUMPRODUCT(--('My order'!$B30:$B230="Compression_Top_LongSleeves"),--('My order'!$C30:$C230="Kid"),--('My order'!$D30:$D230=6))</f>
        <v/>
      </c>
      <c r="U18" s="197">
        <f>SUMPRODUCT(--('My order'!$B30:$B230="Compression_Top_LongSleeves"),--('My order'!$C30:$C230="Kid"),--('My order'!$D30:$D230=8))</f>
        <v/>
      </c>
      <c r="V18" s="197">
        <f>SUMPRODUCT(--('My order'!$B30:$B230="Compression_Top_LongSleeves"),--('My order'!$C30:$C230="Kid"),--('My order'!$D30:$D230=10))</f>
        <v/>
      </c>
      <c r="W18" s="124" t="n"/>
      <c r="X18" s="124" t="n"/>
      <c r="Y18" s="124" t="n"/>
    </row>
    <row r="19" ht="12.75" customHeight="1" s="118">
      <c r="A19" s="124" t="n"/>
      <c r="B19" s="200" t="inlineStr">
        <is>
          <t>Dotoreak</t>
        </is>
      </c>
      <c r="C19" s="197">
        <f>SUMPRODUCT(--('My order'!$B30:$B230="Dotoreak"),--('My order'!$C30:$C230="Man"),--('My order'!$D30:$D230="XS"))</f>
        <v/>
      </c>
      <c r="D19" s="197">
        <f>SUMPRODUCT(--('My order'!$B30:$B230="Dotoreak"),--('My order'!$C30:$C230="Man"),--('My order'!$D30:$D230="S"))</f>
        <v/>
      </c>
      <c r="E19" s="197">
        <f>SUMPRODUCT(--('My order'!$B30:$B230="Dotoreak"),--('My order'!$C30:$C230="Man"),--('My order'!$D30:$D230="M"))</f>
        <v/>
      </c>
      <c r="F19" s="197">
        <f>SUMPRODUCT(--('My order'!$B30:$B230="Dotoreak"),--('My order'!$C30:$C230="Man"),--('My order'!$D30:$D230="L"))</f>
        <v/>
      </c>
      <c r="G19" s="197">
        <f>SUMPRODUCT(--('My order'!$B30:$B230="Dotoreak"),--('My order'!$C30:$C230="Man"),--('My order'!$D30:$D230="XL"))</f>
        <v/>
      </c>
      <c r="H19" s="197">
        <f>SUMPRODUCT(--('My order'!$B30:$B230="Dotoreak"),--('My order'!$C30:$C230="Man"),--('My order'!$D30:$D230="XXL"))</f>
        <v/>
      </c>
      <c r="I19" s="197">
        <f>SUMPRODUCT(--('My order'!$B30:$B230="Dotoreak"),--('My order'!$C30:$C230="Man"),--('My order'!$D30:$D230="XXXL"))</f>
        <v/>
      </c>
      <c r="J19" s="198" t="n"/>
      <c r="K19" s="200" t="inlineStr">
        <is>
          <t>Dotoreak</t>
        </is>
      </c>
      <c r="L19" s="199" t="n"/>
      <c r="M19" s="197">
        <f>SUMPRODUCT(--('My order'!$B30:$B230="Dotoreak"),--('My order'!$C30:$C230="Woman"),--('My order'!$D30:$D230="S"))</f>
        <v/>
      </c>
      <c r="N19" s="197">
        <f>SUMPRODUCT(--('My order'!$B30:$B230="Dotoreak"),--('My order'!$C30:$C230="Woman"),--('My order'!$D30:$D230="M"))</f>
        <v/>
      </c>
      <c r="O19" s="197">
        <f>SUMPRODUCT(--('My order'!$B30:$B230="Dotoreak"),--('My order'!$C30:$C230="Woman"),--('My order'!$D30:$D230="L"))</f>
        <v/>
      </c>
      <c r="P19" s="197">
        <f>SUMPRODUCT(--('My order'!$B30:$B230="Dotoreak"),--('My order'!$C30:$C230="Woman"),--('My order'!$D30:$D230="XL"))</f>
        <v/>
      </c>
      <c r="Q19" s="197">
        <f>SUMPRODUCT(--('My order'!$B30:$B230="Dotoreak"),--('My order'!$C30:$C230="Woman"),--('My order'!$D30:$D230="XXL"))</f>
        <v/>
      </c>
      <c r="R19" s="124" t="n"/>
      <c r="S19" s="200" t="inlineStr">
        <is>
          <t>Dotoreak</t>
        </is>
      </c>
      <c r="T19" s="197">
        <f>SUMPRODUCT(--('My order'!$B30:$B230="Dotoreak"),--('My order'!$C30:$C230="Kid"),--('My order'!$D30:$D230=6))</f>
        <v/>
      </c>
      <c r="U19" s="197">
        <f>SUMPRODUCT(--('My order'!$B30:$B230="Dotoreak"),--('My order'!$C30:$C230="Kid"),--('My order'!$D30:$D230=8))</f>
        <v/>
      </c>
      <c r="V19" s="197">
        <f>SUMPRODUCT(--('My order'!$B30:$B230="Dotoreak"),--('My order'!$C30:$C230="Kid"),--('My order'!$D30:$D230=10))</f>
        <v/>
      </c>
      <c r="W19" s="124" t="n"/>
      <c r="X19" s="124" t="n"/>
      <c r="Y19" s="124" t="n"/>
    </row>
    <row r="20" ht="12.75" customHeight="1" s="118">
      <c r="A20" s="124" t="n"/>
      <c r="B20" s="200" t="inlineStr">
        <is>
          <t>Dotoreak Long Sleeves</t>
        </is>
      </c>
      <c r="C20" s="197">
        <f>SUMPRODUCT(--('My order'!$B30:$B230="Dotoreak_LongSleeves"),--('My order'!$C30:$C230="Man"),--('My order'!$D30:$D230="XS"))</f>
        <v/>
      </c>
      <c r="D20" s="197">
        <f>SUMPRODUCT(--('My order'!$B30:$B230="Dotoreak_LongSleeves"),--('My order'!$C30:$C230="Man"),--('My order'!$D30:$D230="S"))</f>
        <v/>
      </c>
      <c r="E20" s="197">
        <f>SUMPRODUCT(--('My order'!$B30:$B230="Dotoreak_LongSleeves"),--('My order'!$C30:$C230="Man"),--('My order'!$D30:$D230="M"))</f>
        <v/>
      </c>
      <c r="F20" s="197">
        <f>SUMPRODUCT(--('My order'!$B30:$B230="Dotoreak_LongSleeves"),--('My order'!$C30:$C230="Man"),--('My order'!$D30:$D230="L"))</f>
        <v/>
      </c>
      <c r="G20" s="197">
        <f>SUMPRODUCT(--('My order'!$B30:$B230="Dotoreak_LongSleeves"),--('My order'!$C30:$C230="Man"),--('My order'!$D30:$D230="XL"))</f>
        <v/>
      </c>
      <c r="H20" s="197">
        <f>SUMPRODUCT(--('My order'!$B30:$B230="Dotoreak_LongSleeves"),--('My order'!$C30:$C230="Man"),--('My order'!$D30:$D230="XXL"))</f>
        <v/>
      </c>
      <c r="I20" s="197">
        <f>SUMPRODUCT(--('My order'!$B30:$B230="Dotoreak_LongSleeves"),--('My order'!$C30:$C230="Man"),--('My order'!$D30:$D230="XXXL"))</f>
        <v/>
      </c>
      <c r="J20" s="198" t="n"/>
      <c r="K20" s="200" t="inlineStr">
        <is>
          <t>Dotoreak Long Sleeves</t>
        </is>
      </c>
      <c r="L20" s="199" t="n"/>
      <c r="M20" s="197">
        <f>SUMPRODUCT(--('My order'!$B30:$B230="Dotoreak_LongSleeves"),--('My order'!$C30:$C230="Woman"),--('My order'!$D30:$D230="S"))</f>
        <v/>
      </c>
      <c r="N20" s="197">
        <f>SUMPRODUCT(--('My order'!$B30:$B230="Dotoreak_LongSleeves"),--('My order'!$C30:$C230="Woman"),--('My order'!$D30:$D230="M"))</f>
        <v/>
      </c>
      <c r="O20" s="197">
        <f>SUMPRODUCT(--('My order'!$B30:$B230="Dotoreak_LongSleeves"),--('My order'!$C30:$C230="Woman"),--('My order'!$D30:$D230="L"))</f>
        <v/>
      </c>
      <c r="P20" s="197">
        <f>SUMPRODUCT(--('My order'!$B30:$B230="Dotoreak_LongSleeves"),--('My order'!$C30:$C230="Woman"),--('My order'!$D30:$D230="XL"))</f>
        <v/>
      </c>
      <c r="Q20" s="197">
        <f>SUMPRODUCT(--('My order'!$B30:$B230="Dotoreak_LongSleeves"),--('My order'!$C30:$C230="Woman"),--('My order'!$D30:$D230="XXL"))</f>
        <v/>
      </c>
      <c r="R20" s="124" t="n"/>
      <c r="S20" s="200" t="inlineStr">
        <is>
          <t>Dotoreak Long Sleeves</t>
        </is>
      </c>
      <c r="T20" s="197">
        <f>SUMPRODUCT(--('My order'!$B30:$B230="Dotoreak_LongSleeves"),--('My order'!$C30:$C230="Kid"),--('My order'!$D30:$D230=6))</f>
        <v/>
      </c>
      <c r="U20" s="197">
        <f>SUMPRODUCT(--('My order'!$B30:$B230="Dotoreak_LongSleeves"),--('My order'!$C30:$C230="Kid"),--('My order'!$D30:$D230=8))</f>
        <v/>
      </c>
      <c r="V20" s="197">
        <f>SUMPRODUCT(--('My order'!$B30:$B230="Dotoreak_LongSleeves"),--('My order'!$C30:$C230="Kid"),--('My order'!$D30:$D230=10))</f>
        <v/>
      </c>
      <c r="W20" s="124" t="n"/>
      <c r="X20" s="124" t="n"/>
      <c r="Y20" s="124" t="n"/>
    </row>
    <row r="21" ht="12.75" customHeight="1" s="118">
      <c r="A21" s="124" t="n"/>
      <c r="B21" s="200" t="inlineStr">
        <is>
          <t>Erritmo</t>
        </is>
      </c>
      <c r="C21" s="197">
        <f>SUMPRODUCT(--('My order'!$B30:$B230="Erritmo"),--('My order'!$C30:$C230="Man"),--('My order'!$D30:$D230="XS"))</f>
        <v/>
      </c>
      <c r="D21" s="197">
        <f>SUMPRODUCT(--('My order'!$B30:$B230="Erritmo"),--('My order'!$C30:$C230="Man"),--('My order'!$D30:$D230="S"))</f>
        <v/>
      </c>
      <c r="E21" s="197">
        <f>SUMPRODUCT(--('My order'!$B30:$B230="Erritmo"),--('My order'!$C30:$C230="Man"),--('My order'!$D30:$D230="M"))</f>
        <v/>
      </c>
      <c r="F21" s="197">
        <f>SUMPRODUCT(--('My order'!$B30:$B230="Erritmo"),--('My order'!$C30:$C230="Man"),--('My order'!$D30:$D230="L"))</f>
        <v/>
      </c>
      <c r="G21" s="197">
        <f>SUMPRODUCT(--('My order'!$B30:$B230="Erritmo"),--('My order'!$C30:$C230="Man"),--('My order'!$D30:$D230="XL"))</f>
        <v/>
      </c>
      <c r="H21" s="197">
        <f>SUMPRODUCT(--('My order'!$B30:$B230="Erritmo"),--('My order'!$C30:$C230="Man"),--('My order'!$D30:$D230="XXL"))</f>
        <v/>
      </c>
      <c r="I21" s="197">
        <f>SUMPRODUCT(--('My order'!$B30:$B230="Erritmo"),--('My order'!$C30:$C230="Man"),--('My order'!$D30:$D230="XXXL"))</f>
        <v/>
      </c>
      <c r="J21" s="198" t="n"/>
      <c r="K21" s="200" t="inlineStr">
        <is>
          <t>Erritmo</t>
        </is>
      </c>
      <c r="L21" s="199" t="n"/>
      <c r="M21" s="197">
        <f>SUMPRODUCT(--('My order'!$B30:$B230="Erritmo"),--('My order'!$C30:$C230="Woman"),--('My order'!$D30:$D230="S"))</f>
        <v/>
      </c>
      <c r="N21" s="197">
        <f>SUMPRODUCT(--('My order'!$B30:$B230="Erritmo"),--('My order'!$C30:$C230="Woman"),--('My order'!$D30:$D230="M"))</f>
        <v/>
      </c>
      <c r="O21" s="197">
        <f>SUMPRODUCT(--('My order'!$B30:$B230="Erritmo"),--('My order'!$C30:$C230="Woman"),--('My order'!$D30:$D230="L"))</f>
        <v/>
      </c>
      <c r="P21" s="197">
        <f>SUMPRODUCT(--('My order'!$B30:$B230="Erritmo"),--('My order'!$C30:$C230="Woman"),--('My order'!$D30:$D230="XL"))</f>
        <v/>
      </c>
      <c r="Q21" s="197">
        <f>SUMPRODUCT(--('My order'!$B30:$B230="Erritmo"),--('My order'!$C30:$C230="Woman"),--('My order'!$D30:$D230="XXL"))</f>
        <v/>
      </c>
      <c r="R21" s="124" t="n"/>
      <c r="S21" s="200" t="inlineStr">
        <is>
          <t>Erritmo</t>
        </is>
      </c>
      <c r="T21" s="197">
        <f>SUMPRODUCT(--('My order'!$B30:$B230="Erritmo"),--('My order'!$C30:$C230="Kid"),--('My order'!$D30:$D230=6))</f>
        <v/>
      </c>
      <c r="U21" s="197">
        <f>SUMPRODUCT(--('My order'!$B30:$B230="Erritmo"),--('My order'!$C30:$C230="Kid"),--('My order'!$D30:$D230=8))</f>
        <v/>
      </c>
      <c r="V21" s="197">
        <f>SUMPRODUCT(--('My order'!$B30:$B230="Erritmo"),--('My order'!$C30:$C230="Kid"),--('My order'!$D30:$D230=10))</f>
        <v/>
      </c>
      <c r="W21" s="124" t="n"/>
      <c r="X21" s="124" t="n"/>
      <c r="Y21" s="124" t="n"/>
    </row>
    <row r="22" ht="12.75" customHeight="1" s="118">
      <c r="A22" s="124" t="n"/>
      <c r="B22" s="142" t="inlineStr">
        <is>
          <t>Iribazi</t>
        </is>
      </c>
      <c r="C22" s="197">
        <f>SUMPRODUCT(--('My order'!$B30:$B230="Iribazi"),--('My order'!$C30:$C230="Man"),--('My order'!$D30:$D230="XS"))</f>
        <v/>
      </c>
      <c r="D22" s="197">
        <f>SUMPRODUCT(--('My order'!$B30:$B230="Iribazi"),--('My order'!$C30:$C230="Man"),--('My order'!$D30:$D230="S"))</f>
        <v/>
      </c>
      <c r="E22" s="197">
        <f>SUMPRODUCT(--('My order'!$B30:$B230="Iribazi"),--('My order'!$C30:$C230="Man"),--('My order'!$D30:$D230="M"))</f>
        <v/>
      </c>
      <c r="F22" s="197">
        <f>SUMPRODUCT(--('My order'!$B30:$B230="Iribazi"),--('My order'!$C30:$C230="Man"),--('My order'!$D30:$D230="L"))</f>
        <v/>
      </c>
      <c r="G22" s="197">
        <f>SUMPRODUCT(--('My order'!$B30:$B230="Iribazi"),--('My order'!$C30:$C230="Man"),--('My order'!$D30:$D230="XL"))</f>
        <v/>
      </c>
      <c r="H22" s="197">
        <f>SUMPRODUCT(--('My order'!$B30:$B230="Iribazi"),--('My order'!$C30:$C230="Man"),--('My order'!$D30:$D230="XXL"))</f>
        <v/>
      </c>
      <c r="I22" s="197">
        <f>SUMPRODUCT(--('My order'!$B30:$B230="Iribazi"),--('My order'!$C30:$C230="Man"),--('My order'!$D30:$D230="XXXL"))</f>
        <v/>
      </c>
      <c r="J22" s="198" t="n"/>
      <c r="K22" s="142" t="inlineStr">
        <is>
          <t>Iribazi</t>
        </is>
      </c>
      <c r="L22" s="199" t="n"/>
      <c r="M22" s="197">
        <f>SUMPRODUCT(--('My order'!$B30:$B230="Iribazi"),--('My order'!$C30:$C230="Woman"),--('My order'!$D30:$D230="S"))</f>
        <v/>
      </c>
      <c r="N22" s="197">
        <f>SUMPRODUCT(--('My order'!$B30:$B230="Iribazi"),--('My order'!$C30:$C230="Woman"),--('My order'!$D30:$D230="M"))</f>
        <v/>
      </c>
      <c r="O22" s="197">
        <f>SUMPRODUCT(--('My order'!$B30:$B230="Iribazi"),--('My order'!$C30:$C230="Woman"),--('My order'!$D30:$D230="L"))</f>
        <v/>
      </c>
      <c r="P22" s="197">
        <f>SUMPRODUCT(--('My order'!$B30:$B230="Iribazi"),--('My order'!$C30:$C230="Woman"),--('My order'!$D30:$D230="XL"))</f>
        <v/>
      </c>
      <c r="Q22" s="197">
        <f>SUMPRODUCT(--('My order'!$B30:$B230="Iribazi"),--('My order'!$C30:$C230="Woman"),--('My order'!$D30:$D230="XXL"))</f>
        <v/>
      </c>
      <c r="R22" s="124" t="n"/>
      <c r="S22" s="142" t="inlineStr">
        <is>
          <t>Iribazi</t>
        </is>
      </c>
      <c r="T22" s="197">
        <f>SUMPRODUCT(--('My order'!$B30:$B230="Iribazi"),--('My order'!$C30:$C230="Kid"),--('My order'!$D30:$D230=6))</f>
        <v/>
      </c>
      <c r="U22" s="197">
        <f>SUMPRODUCT(--('My order'!$B30:$B230="Iribazi"),--('My order'!$C30:$C230="Kid"),--('My order'!$D30:$D230=8))</f>
        <v/>
      </c>
      <c r="V22" s="197">
        <f>SUMPRODUCT(--('My order'!$B30:$B230="Iribazi"),--('My order'!$C30:$C230="Kid"),--('My order'!$D30:$D230=10))</f>
        <v/>
      </c>
      <c r="W22" s="124" t="n"/>
      <c r="X22" s="124" t="n"/>
      <c r="Y22" s="124" t="n"/>
    </row>
    <row r="23" ht="12.75" customHeight="1" s="118">
      <c r="A23" s="124" t="n"/>
      <c r="B23" s="200" t="inlineStr">
        <is>
          <t>Iribazi Long Sleeves</t>
        </is>
      </c>
      <c r="C23" s="197">
        <f>SUMPRODUCT(--('My order'!$B30:$B230="Iribazi_LongSleeves"),--('My order'!$C30:$C230="Man"),--('My order'!$D30:$D230="XS"))</f>
        <v/>
      </c>
      <c r="D23" s="197">
        <f>SUMPRODUCT(--('My order'!$B30:$B230="Iribazi_LongSleeves"),--('My order'!$C30:$C230="Man"),--('My order'!$D30:$D230="S"))</f>
        <v/>
      </c>
      <c r="E23" s="197">
        <f>SUMPRODUCT(--('My order'!$B30:$B230="Iribazi_LongSleeves"),--('My order'!$C30:$C230="Man"),--('My order'!$D30:$D230="M"))</f>
        <v/>
      </c>
      <c r="F23" s="197">
        <f>SUMPRODUCT(--('My order'!$B30:$B230="Iribazi_LongSleeves"),--('My order'!$C30:$C230="Man"),--('My order'!$D30:$D230="L"))</f>
        <v/>
      </c>
      <c r="G23" s="197">
        <f>SUMPRODUCT(--('My order'!$B30:$B230="Iribazi_LongSleeves"),--('My order'!$C30:$C230="Man"),--('My order'!$D30:$D230="XL"))</f>
        <v/>
      </c>
      <c r="H23" s="197">
        <f>SUMPRODUCT(--('My order'!$B30:$B230="Iribazi_LongSleeves"),--('My order'!$C30:$C230="Man"),--('My order'!$D30:$D230="XXL"))</f>
        <v/>
      </c>
      <c r="I23" s="197">
        <f>SUMPRODUCT(--('My order'!$B30:$B230="Iribazi_LongSleeves"),--('My order'!$C30:$C230="Man"),--('My order'!$D30:$D230="XXXL"))</f>
        <v/>
      </c>
      <c r="J23" s="198" t="n"/>
      <c r="K23" s="200" t="inlineStr">
        <is>
          <t>Iribazi Long Sleeves</t>
        </is>
      </c>
      <c r="L23" s="199" t="n"/>
      <c r="M23" s="197">
        <f>SUMPRODUCT(--('My order'!$B30:$B230="Iribazi_LongSleeves"),--('My order'!$C30:$C230="Woman"),--('My order'!$D30:$D230="S"))</f>
        <v/>
      </c>
      <c r="N23" s="197">
        <f>SUMPRODUCT(--('My order'!$B30:$B230="Iribazi_LongSleeves"),--('My order'!$C30:$C230="Woman"),--('My order'!$D30:$D230="M"))</f>
        <v/>
      </c>
      <c r="O23" s="197">
        <f>SUMPRODUCT(--('My order'!$B30:$B230="Iribazi_LongSleeves"),--('My order'!$C30:$C230="Woman"),--('My order'!$D30:$D230="L"))</f>
        <v/>
      </c>
      <c r="P23" s="197">
        <f>SUMPRODUCT(--('My order'!$B30:$B230="Iribazi_LongSleeves"),--('My order'!$C30:$C230="Woman"),--('My order'!$D30:$D230="XL"))</f>
        <v/>
      </c>
      <c r="Q23" s="197">
        <f>SUMPRODUCT(--('My order'!$B30:$B230="Iribazi_LongSleeves"),--('My order'!$C30:$C230="Woman"),--('My order'!$D30:$D230="XXL"))</f>
        <v/>
      </c>
      <c r="R23" s="124" t="n"/>
      <c r="S23" s="200" t="inlineStr">
        <is>
          <t>Iribazi Long Sleeves</t>
        </is>
      </c>
      <c r="T23" s="197">
        <f>SUMPRODUCT(--('My order'!$B30:$B230="Iribazi_LongSleeves"),--('My order'!$C30:$C230="Kid"),--('My order'!$D30:$D230=6))</f>
        <v/>
      </c>
      <c r="U23" s="197">
        <f>SUMPRODUCT(--('My order'!$B30:$B230="Iribazi_LongSleeves"),--('My order'!$C30:$C230="Kid"),--('My order'!$D30:$D230=8))</f>
        <v/>
      </c>
      <c r="V23" s="197">
        <f>SUMPRODUCT(--('My order'!$B30:$B230="Iribazi_LongSleeves"),--('My order'!$C30:$C230="Kid"),--('My order'!$D30:$D230=10))</f>
        <v/>
      </c>
      <c r="W23" s="124" t="n"/>
      <c r="X23" s="124" t="n"/>
      <c r="Y23" s="124" t="n"/>
    </row>
    <row r="24" ht="12.75" customHeight="1" s="118">
      <c r="A24" s="124" t="n"/>
      <c r="B24" s="142" t="inlineStr">
        <is>
          <t>Jaketa</t>
        </is>
      </c>
      <c r="C24" s="199" t="n"/>
      <c r="D24" s="197">
        <f>SUMPRODUCT(--('My order'!$B30:$B230="Jaketa"),--('My order'!$C30:$C230="Man"),--('My order'!$D30:$D230="S"))</f>
        <v/>
      </c>
      <c r="E24" s="197">
        <f>SUMPRODUCT(--('My order'!$B30:$B230="Jaketa"),--('My order'!$C30:$C230="Man"),--('My order'!$D30:$D230="M"))</f>
        <v/>
      </c>
      <c r="F24" s="197">
        <f>SUMPRODUCT(--('My order'!$B30:$B230="Jaketa"),--('My order'!$C30:$C230="Man"),--('My order'!$D30:$D230="L"))</f>
        <v/>
      </c>
      <c r="G24" s="197">
        <f>SUMPRODUCT(--('My order'!$B30:$B230="Jaketa"),--('My order'!$C30:$C230="Man"),--('My order'!$D30:$D230="XL"))</f>
        <v/>
      </c>
      <c r="H24" s="197">
        <f>SUMPRODUCT(--('My order'!$B30:$B230="Jaketa"),--('My order'!$C30:$C230="Man"),--('My order'!$D30:$D230="XXL"))</f>
        <v/>
      </c>
      <c r="I24" s="199" t="n"/>
      <c r="J24" s="198" t="n"/>
      <c r="K24" s="142" t="inlineStr">
        <is>
          <t>Jaketa</t>
        </is>
      </c>
      <c r="L24" s="199" t="n"/>
      <c r="M24" s="197">
        <f>SUMPRODUCT(--('My order'!$B30:$B230="Jaketa"),--('My order'!$C30:$C230="Woman"),--('My order'!$D30:$D230="S"))</f>
        <v/>
      </c>
      <c r="N24" s="197">
        <f>SUMPRODUCT(--('My order'!$B30:$B230="Jaketa"),--('My order'!$C30:$C230="Woman"),--('My order'!$D30:$D230="M"))</f>
        <v/>
      </c>
      <c r="O24" s="197">
        <f>SUMPRODUCT(--('My order'!$B30:$B230="Jaketa"),--('My order'!$C30:$C230="Woman"),--('My order'!$D30:$D230="L"))</f>
        <v/>
      </c>
      <c r="P24" s="197">
        <f>SUMPRODUCT(--('My order'!$B30:$B230="Jaketa"),--('My order'!$C30:$C230="Woman"),--('My order'!$D30:$D230="XL"))</f>
        <v/>
      </c>
      <c r="Q24" s="199" t="n"/>
      <c r="R24" s="124" t="n"/>
      <c r="S24" s="142" t="inlineStr">
        <is>
          <t>Jaketa</t>
        </is>
      </c>
      <c r="T24" s="199" t="n"/>
      <c r="U24" s="199" t="n"/>
      <c r="V24" s="199" t="n"/>
      <c r="W24" s="124" t="n"/>
      <c r="X24" s="124" t="n"/>
      <c r="Y24" s="124" t="n"/>
    </row>
    <row r="25" ht="12.75" customHeight="1" s="118">
      <c r="A25" s="124" t="n"/>
      <c r="B25" s="142" t="inlineStr">
        <is>
          <t>Jauzi</t>
        </is>
      </c>
      <c r="C25" s="197">
        <f>SUMPRODUCT(--('My order'!$B30:$B230="Jauzi"),--('My order'!$C30:$C230="Man"),--('My order'!$D30:$D230="XS"))</f>
        <v/>
      </c>
      <c r="D25" s="197">
        <f>SUMPRODUCT(--('My order'!$B30:$B230="Jauzi"),--('My order'!$C30:$C230="Man"),--('My order'!$D30:$D230="S"))</f>
        <v/>
      </c>
      <c r="E25" s="197">
        <f>SUMPRODUCT(--('My order'!$B30:$B230="Jauzi"),--('My order'!$C30:$C230="Man"),--('My order'!$D30:$D230="M"))</f>
        <v/>
      </c>
      <c r="F25" s="197">
        <f>SUMPRODUCT(--('My order'!$B30:$B230="Jauzi"),--('My order'!$C30:$C230="Man"),--('My order'!$D30:$D230="L"))</f>
        <v/>
      </c>
      <c r="G25" s="197">
        <f>SUMPRODUCT(--('My order'!$B30:$B230="Jauzi"),--('My order'!$C30:$C230="Man"),--('My order'!$D30:$D230="XL"))</f>
        <v/>
      </c>
      <c r="H25" s="197">
        <f>SUMPRODUCT(--('My order'!$B30:$B230="Jauzi"),--('My order'!$C30:$C230="Man"),--('My order'!$D30:$D230="XXL"))</f>
        <v/>
      </c>
      <c r="I25" s="197">
        <f>SUMPRODUCT(--('My order'!$B30:$B230="Jauzi"),--('My order'!$C30:$C230="Man"),--('My order'!$D30:$D230="XXXL"))</f>
        <v/>
      </c>
      <c r="J25" s="198" t="n"/>
      <c r="K25" s="142" t="inlineStr">
        <is>
          <t>Jauzi</t>
        </is>
      </c>
      <c r="L25" s="199" t="n"/>
      <c r="M25" s="197">
        <f>SUMPRODUCT(--('My order'!$B30:$B230="Jauzi"),--('My order'!$C30:$C230="Woman"),--('My order'!$D30:$D230="S"))</f>
        <v/>
      </c>
      <c r="N25" s="197">
        <f>SUMPRODUCT(--('My order'!$B30:$B230="Jauzi"),--('My order'!$C30:$C230="Woman"),--('My order'!$D30:$D230="M"))</f>
        <v/>
      </c>
      <c r="O25" s="197">
        <f>SUMPRODUCT(--('My order'!$B30:$B230="Jauzi"),--('My order'!$C30:$C230="Woman"),--('My order'!$D30:$D230="L"))</f>
        <v/>
      </c>
      <c r="P25" s="197">
        <f>SUMPRODUCT(--('My order'!$B30:$B230="Jauzi"),--('My order'!$C30:$C230="Woman"),--('My order'!$D30:$D230="XL"))</f>
        <v/>
      </c>
      <c r="Q25" s="197">
        <f>SUMPRODUCT(--('My order'!$B30:$B230="Jauzi"),--('My order'!$C30:$C230="Woman"),--('My order'!$D30:$D230="XXL"))</f>
        <v/>
      </c>
      <c r="R25" s="124" t="n"/>
      <c r="S25" s="142" t="inlineStr">
        <is>
          <t>Jauzi</t>
        </is>
      </c>
      <c r="T25" s="197">
        <f>SUMPRODUCT(--('My order'!$B30:$B230="Jauzi"),--('My order'!$C30:$C230="Kid"),--('My order'!$D30:$D230=6))</f>
        <v/>
      </c>
      <c r="U25" s="197">
        <f>SUMPRODUCT(--('My order'!$B30:$B230="Jauzi"),--('My order'!$C30:$C230="Kid"),--('My order'!$D30:$D230=8))</f>
        <v/>
      </c>
      <c r="V25" s="197">
        <f>SUMPRODUCT(--('My order'!$B30:$B230="Jauzi"),--('My order'!$C30:$C230="Kid"),--('My order'!$D30:$D230=10))</f>
        <v/>
      </c>
      <c r="W25" s="124" t="n"/>
      <c r="X25" s="124" t="n"/>
      <c r="Y25" s="124" t="n"/>
    </row>
    <row r="26" ht="12.75" customHeight="1" s="118">
      <c r="A26" s="124" t="n"/>
      <c r="B26" s="200" t="inlineStr">
        <is>
          <t>Kanpaia</t>
        </is>
      </c>
      <c r="C26" s="199" t="n"/>
      <c r="D26" s="197">
        <f>SUMPRODUCT(--('My order'!$B30:$B230="Kanpaia"),--('My order'!$C30:$C230="Man"),--('My order'!$D30:$D230="S"))</f>
        <v/>
      </c>
      <c r="E26" s="197">
        <f>SUMPRODUCT(--('My order'!$B30:$B230="Kanpaia"),--('My order'!$C30:$C230="Man"),--('My order'!$D30:$D230="M"))</f>
        <v/>
      </c>
      <c r="F26" s="197">
        <f>SUMPRODUCT(--('My order'!$B30:$B230="Kanpaia"),--('My order'!$C30:$C230="Man"),--('My order'!$D30:$D230="L"))</f>
        <v/>
      </c>
      <c r="G26" s="197">
        <f>SUMPRODUCT(--('My order'!$B30:$B230="Kanpaia"),--('My order'!$C30:$C230="Man"),--('My order'!$D30:$D230="XL"))</f>
        <v/>
      </c>
      <c r="H26" s="197">
        <f>SUMPRODUCT(--('My order'!$B30:$B230="Kanpaia"),--('My order'!$C30:$C230="Man"),--('My order'!$D30:$D230="XXL"))</f>
        <v/>
      </c>
      <c r="I26" s="199" t="n"/>
      <c r="J26" s="198" t="n"/>
      <c r="K26" s="200" t="inlineStr">
        <is>
          <t>Kanpaia</t>
        </is>
      </c>
      <c r="L26" s="199" t="n"/>
      <c r="M26" s="197">
        <f>SUMPRODUCT(--('My order'!$B30:$B230="Kanpaia"),--('My order'!$C30:$C230="Woman"),--('My order'!$D30:$D230="S"))</f>
        <v/>
      </c>
      <c r="N26" s="197">
        <f>SUMPRODUCT(--('My order'!$B30:$B230="Kanpaia"),--('My order'!$C30:$C230="Woman"),--('My order'!$D30:$D230="M"))</f>
        <v/>
      </c>
      <c r="O26" s="197">
        <f>SUMPRODUCT(--('My order'!$B30:$B230="Kanpaia"),--('My order'!$C30:$C230="Woman"),--('My order'!$D30:$D230="L"))</f>
        <v/>
      </c>
      <c r="P26" s="197">
        <f>SUMPRODUCT(--('My order'!$B30:$B230="Kanpaia"),--('My order'!$C30:$C230="Woman"),--('My order'!$D30:$D230="XL"))</f>
        <v/>
      </c>
      <c r="Q26" s="199" t="n"/>
      <c r="R26" s="124" t="n"/>
      <c r="S26" s="200" t="inlineStr">
        <is>
          <t>Kanpaia</t>
        </is>
      </c>
      <c r="T26" s="199" t="n"/>
      <c r="U26" s="199" t="n"/>
      <c r="V26" s="199" t="n"/>
      <c r="W26" s="124" t="n"/>
      <c r="X26" s="124" t="n"/>
      <c r="Y26" s="124" t="n"/>
    </row>
    <row r="27" ht="12.75" customHeight="1" s="118">
      <c r="A27" s="124" t="n"/>
      <c r="B27" s="142" t="inlineStr">
        <is>
          <t>Korrika</t>
        </is>
      </c>
      <c r="C27" s="197">
        <f>SUMPRODUCT(--('My order'!$B30:$B230="Korrika"),--('My order'!$C30:$C230="Man"),--('My order'!$D30:$D230="XS"))</f>
        <v/>
      </c>
      <c r="D27" s="197">
        <f>SUMPRODUCT(--('My order'!$B30:$B230="Korrika"),--('My order'!$C30:$C230="Man"),--('My order'!$D30:$D230="S"))</f>
        <v/>
      </c>
      <c r="E27" s="197">
        <f>SUMPRODUCT(--('My order'!$B30:$B230="Korrika"),--('My order'!$C30:$C230="Man"),--('My order'!$D30:$D230="M"))</f>
        <v/>
      </c>
      <c r="F27" s="197">
        <f>SUMPRODUCT(--('My order'!$B30:$B230="Korrika"),--('My order'!$C30:$C230="Man"),--('My order'!$D30:$D230="L"))</f>
        <v/>
      </c>
      <c r="G27" s="197">
        <f>SUMPRODUCT(--('My order'!$B30:$B230="Korrika"),--('My order'!$C30:$C230="Man"),--('My order'!$D30:$D230="XL"))</f>
        <v/>
      </c>
      <c r="H27" s="197">
        <f>SUMPRODUCT(--('My order'!$B30:$B230="Korrika"),--('My order'!$C30:$C230="Man"),--('My order'!$D30:$D230="XXL"))</f>
        <v/>
      </c>
      <c r="I27" s="197">
        <f>SUMPRODUCT(--('My order'!$B30:$B230="Korrika"),--('My order'!$C30:$C230="Man"),--('My order'!$D30:$D230="XXXL"))</f>
        <v/>
      </c>
      <c r="J27" s="198" t="n"/>
      <c r="K27" s="142" t="inlineStr">
        <is>
          <t>Korrika</t>
        </is>
      </c>
      <c r="L27" s="199" t="n"/>
      <c r="M27" s="197">
        <f>SUMPRODUCT(--('My order'!$B30:$B230="Korrika"),--('My order'!$C30:$C230="Woman"),--('My order'!$D30:$D230="S"))</f>
        <v/>
      </c>
      <c r="N27" s="197">
        <f>SUMPRODUCT(--('My order'!$B30:$B230="Korrika"),--('My order'!$C30:$C230="Woman"),--('My order'!$D30:$D230="M"))</f>
        <v/>
      </c>
      <c r="O27" s="197">
        <f>SUMPRODUCT(--('My order'!$B30:$B230="Korrika"),--('My order'!$C30:$C230="Woman"),--('My order'!$D30:$D230="L"))</f>
        <v/>
      </c>
      <c r="P27" s="197">
        <f>SUMPRODUCT(--('My order'!$B30:$B230="Korrika"),--('My order'!$C30:$C230="Woman"),--('My order'!$D30:$D230="XL"))</f>
        <v/>
      </c>
      <c r="Q27" s="197">
        <f>SUMPRODUCT(--('My order'!$B30:$B230="Korrika"),--('My order'!$C30:$C230="Woman"),--('My order'!$D30:$D230="XXL"))</f>
        <v/>
      </c>
      <c r="R27" s="124" t="n"/>
      <c r="S27" s="142" t="inlineStr">
        <is>
          <t>Korrika</t>
        </is>
      </c>
      <c r="T27" s="197">
        <f>SUMPRODUCT(--('My order'!$B30:$B230="Korrika"),--('My order'!$C30:$C230="Kid"),--('My order'!$D30:$D230=6))</f>
        <v/>
      </c>
      <c r="U27" s="197">
        <f>SUMPRODUCT(--('My order'!$B30:$B230="Korrika"),--('My order'!$C30:$C230="Kid"),--('My order'!$D30:$D230=8))</f>
        <v/>
      </c>
      <c r="V27" s="197">
        <f>SUMPRODUCT(--('My order'!$B30:$B230="Korrika"),--('My order'!$C30:$C230="Kid"),--('My order'!$D30:$D230=10))</f>
        <v/>
      </c>
      <c r="W27" s="124" t="n"/>
      <c r="X27" s="124" t="n"/>
      <c r="Y27" s="124" t="n"/>
    </row>
    <row r="28" ht="12.75" customHeight="1" s="118">
      <c r="A28" s="124" t="n"/>
      <c r="B28" s="142" t="inlineStr">
        <is>
          <t>Ohiko</t>
        </is>
      </c>
      <c r="C28" s="197">
        <f>SUMPRODUCT(--('My order'!$B30:$B230="Ohiko"),--('My order'!$C30:$C230="Man"),--('My order'!$D30:$D230="XS"))</f>
        <v/>
      </c>
      <c r="D28" s="197">
        <f>SUMPRODUCT(--('My order'!$B30:$B230="Ohiko"),--('My order'!$C30:$C230="Man"),--('My order'!$D30:$D230="S"))</f>
        <v/>
      </c>
      <c r="E28" s="197">
        <f>SUMPRODUCT(--('My order'!$B30:$B230="Ohiko"),--('My order'!$C30:$C230="Man"),--('My order'!$D30:$D230="M"))</f>
        <v/>
      </c>
      <c r="F28" s="197">
        <f>SUMPRODUCT(--('My order'!$B30:$B230="Ohiko"),--('My order'!$C30:$C230="Man"),--('My order'!$D30:$D230="L"))</f>
        <v/>
      </c>
      <c r="G28" s="197">
        <f>SUMPRODUCT(--('My order'!$B30:$B230="Ohiko"),--('My order'!$C30:$C230="Man"),--('My order'!$D30:$D230="XL"))</f>
        <v/>
      </c>
      <c r="H28" s="197">
        <f>SUMPRODUCT(--('My order'!$B30:$B230="Ohiko"),--('My order'!$C30:$C230="Man"),--('My order'!$D30:$D230="XXL"))</f>
        <v/>
      </c>
      <c r="I28" s="197">
        <f>SUMPRODUCT(--('My order'!$B30:$B230="Ohiko"),--('My order'!$C30:$C230="Man"),--('My order'!$D30:$D230="XXXL"))</f>
        <v/>
      </c>
      <c r="J28" s="198" t="n"/>
      <c r="K28" s="142" t="inlineStr">
        <is>
          <t>Ohiko</t>
        </is>
      </c>
      <c r="L28" s="199" t="n"/>
      <c r="M28" s="197">
        <f>SUMPRODUCT(--('My order'!$B30:$B230="Ohiko"),--('My order'!$C30:$C230="Woman"),--('My order'!$D30:$D230="S"))</f>
        <v/>
      </c>
      <c r="N28" s="197">
        <f>SUMPRODUCT(--('My order'!$B30:$B230="Ohiko"),--('My order'!$C30:$C230="Woman"),--('My order'!$D30:$D230="M"))</f>
        <v/>
      </c>
      <c r="O28" s="197">
        <f>SUMPRODUCT(--('My order'!$B30:$B230="Ohiko"),--('My order'!$C30:$C230="Woman"),--('My order'!$D30:$D230="L"))</f>
        <v/>
      </c>
      <c r="P28" s="197">
        <f>SUMPRODUCT(--('My order'!$B30:$B230="Ohiko"),--('My order'!$C30:$C230="Woman"),--('My order'!$D30:$D230="XL"))</f>
        <v/>
      </c>
      <c r="Q28" s="197">
        <f>SUMPRODUCT(--('My order'!$B30:$B230="Ohiko"),--('My order'!$C30:$C230="Woman"),--('My order'!$D30:$D230="XXL"))</f>
        <v/>
      </c>
      <c r="R28" s="124" t="n"/>
      <c r="S28" s="142" t="inlineStr">
        <is>
          <t>Ohiko</t>
        </is>
      </c>
      <c r="T28" s="197">
        <f>SUMPRODUCT(--('My order'!$B30:$B230="Ohiko"),--('My order'!$C30:$C230="Kid"),--('My order'!$D30:$D230=6))</f>
        <v/>
      </c>
      <c r="U28" s="197">
        <f>SUMPRODUCT(--('My order'!$B30:$B230="Ohiko"),--('My order'!$C30:$C230="Kid"),--('My order'!$D30:$D230=8))</f>
        <v/>
      </c>
      <c r="V28" s="197">
        <f>SUMPRODUCT(--('My order'!$B30:$B230="Ohiko"),--('My order'!$C30:$C230="Kid"),--('My order'!$D30:$D230=10))</f>
        <v/>
      </c>
      <c r="W28" s="124" t="n"/>
      <c r="X28" s="124" t="n"/>
      <c r="Y28" s="124" t="n"/>
    </row>
    <row r="29" ht="12.75" customHeight="1" s="118">
      <c r="A29" s="124" t="n"/>
      <c r="B29" s="200" t="inlineStr">
        <is>
          <t>Ohiko Long Sleeves</t>
        </is>
      </c>
      <c r="C29" s="197">
        <f>SUMPRODUCT(--('My order'!$B30:$B230="Ohiko_LongSleeves"),--('My order'!$C30:$C230="Man"),--('My order'!$D30:$D230="XS"))</f>
        <v/>
      </c>
      <c r="D29" s="197">
        <f>SUMPRODUCT(--('My order'!$B30:$B230="Ohiko_LongSleeves"),--('My order'!$C30:$C230="Man"),--('My order'!$D30:$D230="S"))</f>
        <v/>
      </c>
      <c r="E29" s="197">
        <f>SUMPRODUCT(--('My order'!$B30:$B230="Ohiko_LongSleeves"),--('My order'!$C30:$C230="Man"),--('My order'!$D30:$D230="M"))</f>
        <v/>
      </c>
      <c r="F29" s="197">
        <f>SUMPRODUCT(--('My order'!$B30:$B230="Ohiko_LongSleeves"),--('My order'!$C30:$C230="Man"),--('My order'!$D30:$D230="L"))</f>
        <v/>
      </c>
      <c r="G29" s="197">
        <f>SUMPRODUCT(--('My order'!$B30:$B230="Ohiko_LongSleeves"),--('My order'!$C30:$C230="Man"),--('My order'!$D30:$D230="XL"))</f>
        <v/>
      </c>
      <c r="H29" s="197">
        <f>SUMPRODUCT(--('My order'!$B30:$B230="Ohiko_LongSleeves"),--('My order'!$C30:$C230="Man"),--('My order'!$D30:$D230="XXL"))</f>
        <v/>
      </c>
      <c r="I29" s="197">
        <f>SUMPRODUCT(--('My order'!$B30:$B230="Ohiko_LongSleeves"),--('My order'!$C30:$C230="Man"),--('My order'!$D30:$D230="XXXL"))</f>
        <v/>
      </c>
      <c r="J29" s="198" t="n"/>
      <c r="K29" s="200" t="inlineStr">
        <is>
          <t>Ohiko Long Sleeves</t>
        </is>
      </c>
      <c r="L29" s="199" t="n"/>
      <c r="M29" s="197">
        <f>SUMPRODUCT(--('My order'!$B30:$B230="Ohiko_LongSleeves"),--('My order'!$C30:$C230="Woman"),--('My order'!$D30:$D230="S"))</f>
        <v/>
      </c>
      <c r="N29" s="197">
        <f>SUMPRODUCT(--('My order'!$B30:$B230="Ohiko_LongSleeves"),--('My order'!$C30:$C230="Woman"),--('My order'!$D30:$D230="M"))</f>
        <v/>
      </c>
      <c r="O29" s="197">
        <f>SUMPRODUCT(--('My order'!$B30:$B230="Ohiko_LongSleeves"),--('My order'!$C30:$C230="Woman"),--('My order'!$D30:$D230="L"))</f>
        <v/>
      </c>
      <c r="P29" s="197">
        <f>SUMPRODUCT(--('My order'!$B30:$B230="Ohiko_LongSleeves"),--('My order'!$C30:$C230="Woman"),--('My order'!$D30:$D230="XL"))</f>
        <v/>
      </c>
      <c r="Q29" s="197">
        <f>SUMPRODUCT(--('My order'!$B30:$B230="Ohiko_LongSleeves"),--('My order'!$C30:$C230="Woman"),--('My order'!$D30:$D230="XXL"))</f>
        <v/>
      </c>
      <c r="R29" s="124" t="n"/>
      <c r="S29" s="200" t="inlineStr">
        <is>
          <t>Ohiko Long Sleeves</t>
        </is>
      </c>
      <c r="T29" s="197">
        <f>SUMPRODUCT(--('My order'!$B30:$B230="Ohiko_LongSleeves"),--('My order'!$C30:$C230="Kid"),--('My order'!$D30:$D230=6))</f>
        <v/>
      </c>
      <c r="U29" s="197">
        <f>SUMPRODUCT(--('My order'!$B30:$B230="Ohiko_LongSleeves"),--('My order'!$C30:$C230="Kid"),--('My order'!$D30:$D230=8))</f>
        <v/>
      </c>
      <c r="V29" s="197">
        <f>SUMPRODUCT(--('My order'!$B30:$B230="Ohiko_LongSleeves"),--('My order'!$C30:$C230="Kid"),--('My order'!$D30:$D230=10))</f>
        <v/>
      </c>
      <c r="W29" s="124" t="n"/>
      <c r="X29" s="124" t="n"/>
      <c r="Y29" s="124" t="n"/>
    </row>
    <row r="30" ht="12.75" customHeight="1" s="118">
      <c r="A30" s="124" t="n"/>
      <c r="B30" s="142" t="inlineStr">
        <is>
          <t>Reversible</t>
        </is>
      </c>
      <c r="C30" s="197">
        <f>SUMPRODUCT(--('My order'!$B30:$B230="Reversible"),--('My order'!$C30:$C230="Unisex"),--('My order'!$D30:$D230="XS"))</f>
        <v/>
      </c>
      <c r="D30" s="197">
        <f>SUMPRODUCT(--('My order'!$B30:$B230="Reversible"),--('My order'!$C30:$C230="Unisex"),--('My order'!$D30:$D230="S"))</f>
        <v/>
      </c>
      <c r="E30" s="197">
        <f>SUMPRODUCT(--('My order'!$B30:$B230="Reversible"),--('My order'!$C30:$C230="Unisex"),--('My order'!$D30:$D230="M"))</f>
        <v/>
      </c>
      <c r="F30" s="197">
        <f>SUMPRODUCT(--('My order'!$B30:$B230="Reversible"),--('My order'!$C30:$C230="Unisex"),--('My order'!$D30:$D230="L"))</f>
        <v/>
      </c>
      <c r="G30" s="197">
        <f>SUMPRODUCT(--('My order'!$B30:$B230="Reversible"),--('My order'!$C30:$C230="Unisex"),--('My order'!$D30:$D230="XL"))</f>
        <v/>
      </c>
      <c r="H30" s="197">
        <f>SUMPRODUCT(--('My order'!$B30:$B230="Reversible"),--('My order'!$C30:$C230="Unisex"),--('My order'!$D30:$D230="XXL"))</f>
        <v/>
      </c>
      <c r="I30" s="197">
        <f>SUMPRODUCT(--('My order'!$B30:$B230="Reversible"),--('My order'!$C30:$C230="Unisex"),--('My order'!$D30:$D230="XXXL"))</f>
        <v/>
      </c>
      <c r="J30" s="198" t="n"/>
      <c r="K30" s="142" t="inlineStr">
        <is>
          <t>Reversible</t>
        </is>
      </c>
      <c r="L30" s="201" t="inlineStr">
        <is>
          <t>Unisex</t>
        </is>
      </c>
      <c r="M30" s="131" t="n"/>
      <c r="N30" s="131" t="n"/>
      <c r="O30" s="131" t="n"/>
      <c r="P30" s="131" t="n"/>
      <c r="Q30" s="132" t="n"/>
      <c r="R30" s="124" t="n"/>
      <c r="S30" s="142" t="inlineStr">
        <is>
          <t>Reversible</t>
        </is>
      </c>
      <c r="T30" s="197">
        <f>SUMPRODUCT(--('My order'!$B30:$B230="Reversible"),--('My order'!$C30:$C230="Unisex"),--('My order'!$D30:$D230=6))</f>
        <v/>
      </c>
      <c r="U30" s="197">
        <f>SUMPRODUCT(--('My order'!$B30:$B230="Reversible"),--('My order'!$C30:$C230="Unisex"),--('My order'!$D30:$D230=8))</f>
        <v/>
      </c>
      <c r="V30" s="197">
        <f>SUMPRODUCT(--('My order'!$B30:$B230="Reversible"),--('My order'!$C30:$C230="Unisex"),--('My order'!$D30:$D230=10))</f>
        <v/>
      </c>
      <c r="W30" s="124" t="n"/>
      <c r="X30" s="124" t="n"/>
      <c r="Y30" s="124" t="n"/>
    </row>
    <row r="31" ht="12.75" customHeight="1" s="118">
      <c r="A31" s="124" t="n"/>
      <c r="B31" s="142" t="inlineStr">
        <is>
          <t>Tank</t>
        </is>
      </c>
      <c r="C31" s="197">
        <f>SUMPRODUCT(--('My order'!$B30:$B230="Tank"),--('My order'!$C30:$C230="Man"),--('My order'!$D30:$D230="XS"))</f>
        <v/>
      </c>
      <c r="D31" s="197">
        <f>SUMPRODUCT(--('My order'!$B30:$B230="Tank"),--('My order'!$C30:$C230="Man"),--('My order'!$D30:$D230="S"))</f>
        <v/>
      </c>
      <c r="E31" s="197">
        <f>SUMPRODUCT(--('My order'!$B30:$B230="Tank"),--('My order'!$C30:$C230="Man"),--('My order'!$D30:$D230="M"))</f>
        <v/>
      </c>
      <c r="F31" s="197">
        <f>SUMPRODUCT(--('My order'!$B30:$B230="Tank"),--('My order'!$C30:$C230="Man"),--('My order'!$D30:$D230="L"))</f>
        <v/>
      </c>
      <c r="G31" s="197">
        <f>SUMPRODUCT(--('My order'!$B30:$B230="Tank"),--('My order'!$C30:$C230="Man"),--('My order'!$D30:$D230="XL"))</f>
        <v/>
      </c>
      <c r="H31" s="197">
        <f>SUMPRODUCT(--('My order'!$B30:$B230="Tank"),--('My order'!$C30:$C230="Man"),--('My order'!$D30:$D230="XXL"))</f>
        <v/>
      </c>
      <c r="I31" s="197">
        <f>SUMPRODUCT(--('My order'!$B30:$B230="Tank"),--('My order'!$C30:$C230="Man"),--('My order'!$D30:$D230="XXXL"))</f>
        <v/>
      </c>
      <c r="J31" s="198" t="n"/>
      <c r="K31" s="142" t="inlineStr">
        <is>
          <t>Tank</t>
        </is>
      </c>
      <c r="L31" s="199" t="n"/>
      <c r="M31" s="197">
        <f>SUMPRODUCT(--('My order'!$B30:$B230="Tank"),--('My order'!$C30:$C230="Woman"),--('My order'!$D30:$D230="S"))</f>
        <v/>
      </c>
      <c r="N31" s="197">
        <f>SUMPRODUCT(--('My order'!$B30:$B230="Tank"),--('My order'!$C30:$C230="Woman"),--('My order'!$D30:$D230="M"))</f>
        <v/>
      </c>
      <c r="O31" s="197">
        <f>SUMPRODUCT(--('My order'!$B30:$B230="Tank"),--('My order'!$C30:$C230="Woman"),--('My order'!$D30:$D230="L"))</f>
        <v/>
      </c>
      <c r="P31" s="197">
        <f>SUMPRODUCT(--('My order'!$B30:$B230="Tank"),--('My order'!$C30:$C230="Woman"),--('My order'!$D30:$D230="XL"))</f>
        <v/>
      </c>
      <c r="Q31" s="197">
        <f>SUMPRODUCT(--('My order'!$B30:$B230="Tank"),--('My order'!$C30:$C230="Woman"),--('My order'!$D30:$D230="XXL"))</f>
        <v/>
      </c>
      <c r="R31" s="124" t="n"/>
      <c r="S31" s="142" t="inlineStr">
        <is>
          <t>Tank</t>
        </is>
      </c>
      <c r="T31" s="197">
        <f>SUMPRODUCT(--('My order'!$B30:$B230="Tank"),--('My order'!$C30:$C230="Kid"),--('My order'!$D30:$D230=6))</f>
        <v/>
      </c>
      <c r="U31" s="197">
        <f>SUMPRODUCT(--('My order'!$B30:$B230="Tank"),--('My order'!$C30:$C230="Kid"),--('My order'!$D30:$D230=8))</f>
        <v/>
      </c>
      <c r="V31" s="197">
        <f>SUMPRODUCT(--('My order'!$B30:$B230="Tank"),--('My order'!$C30:$C230="Kid"),--('My order'!$D30:$D230=10))</f>
        <v/>
      </c>
      <c r="W31" s="124" t="n"/>
      <c r="X31" s="124" t="n"/>
      <c r="Y31" s="124" t="n"/>
    </row>
    <row r="32" ht="12.75" customHeight="1" s="118">
      <c r="A32" s="124" t="n"/>
      <c r="B32" s="142" t="inlineStr">
        <is>
          <t>Volley</t>
        </is>
      </c>
      <c r="C32" s="197">
        <f>SUMPRODUCT(--('My order'!$B30:$B230="Volley"),--('My order'!$C30:$C230="Man"),--('My order'!$D30:$D230="XS"))</f>
        <v/>
      </c>
      <c r="D32" s="197">
        <f>SUMPRODUCT(--('My order'!$B30:$B230="Volley"),--('My order'!$C30:$C230="Man"),--('My order'!$D30:$D230="S"))</f>
        <v/>
      </c>
      <c r="E32" s="197">
        <f>SUMPRODUCT(--('My order'!$B30:$B230="Volley"),--('My order'!$C30:$C230="Man"),--('My order'!$D30:$D230="M"))</f>
        <v/>
      </c>
      <c r="F32" s="197">
        <f>SUMPRODUCT(--('My order'!$B30:$B230="Volley"),--('My order'!$C30:$C230="Man"),--('My order'!$D30:$D230="L"))</f>
        <v/>
      </c>
      <c r="G32" s="197">
        <f>SUMPRODUCT(--('My order'!$B30:$B230="Volley"),--('My order'!$C30:$C230="Man"),--('My order'!$D30:$D230="XL"))</f>
        <v/>
      </c>
      <c r="H32" s="197">
        <f>SUMPRODUCT(--('My order'!$B30:$B230="Volley"),--('My order'!$C30:$C230="Man"),--('My order'!$D30:$D230="XXL"))</f>
        <v/>
      </c>
      <c r="I32" s="197">
        <f>SUMPRODUCT(--('My order'!$B30:$B230="Volley"),--('My order'!$C30:$C230="Man"),--('My order'!$D30:$D230="XXXL"))</f>
        <v/>
      </c>
      <c r="J32" s="198" t="n"/>
      <c r="K32" s="142" t="inlineStr">
        <is>
          <t>Volley</t>
        </is>
      </c>
      <c r="L32" s="199" t="n"/>
      <c r="M32" s="197">
        <f>SUMPRODUCT(--('My order'!$B30:$B230="Volley"),--('My order'!$C30:$C230="Woman"),--('My order'!$D30:$D230="S"))</f>
        <v/>
      </c>
      <c r="N32" s="197">
        <f>SUMPRODUCT(--('My order'!$B30:$B230="Volley"),--('My order'!$C30:$C230="Woman"),--('My order'!$D30:$D230="M"))</f>
        <v/>
      </c>
      <c r="O32" s="197">
        <f>SUMPRODUCT(--('My order'!$B30:$B230="Volley"),--('My order'!$C30:$C230="Woman"),--('My order'!$D30:$D230="L"))</f>
        <v/>
      </c>
      <c r="P32" s="197">
        <f>SUMPRODUCT(--('My order'!$B30:$B230="Volley"),--('My order'!$C30:$C230="Woman"),--('My order'!$D30:$D230="XL"))</f>
        <v/>
      </c>
      <c r="Q32" s="197">
        <f>SUMPRODUCT(--('My order'!$B30:$B230="Volley"),--('My order'!$C30:$C230="Woman"),--('My order'!$D30:$D230="XXL"))</f>
        <v/>
      </c>
      <c r="R32" s="124" t="n"/>
      <c r="S32" s="202" t="inlineStr">
        <is>
          <t>Volley</t>
        </is>
      </c>
      <c r="T32" s="197">
        <f>SUMPRODUCT(--('My order'!$B30:$B230="Volley"),--('My order'!$C30:$C230="Kid"),--('My order'!$D30:$D230=6))</f>
        <v/>
      </c>
      <c r="U32" s="197">
        <f>SUMPRODUCT(--('My order'!$B30:$B230="Volley"),--('My order'!$C30:$C230="Kid"),--('My order'!$D30:$D230=8))</f>
        <v/>
      </c>
      <c r="V32" s="197">
        <f>SUMPRODUCT(--('My order'!$B30:$B230="Volley"),--('My order'!$C30:$C230="Kid"),--('My order'!$D30:$D230=10))</f>
        <v/>
      </c>
      <c r="W32" s="124" t="n"/>
      <c r="X32" s="124" t="n"/>
      <c r="Y32" s="124" t="n"/>
    </row>
    <row r="33" ht="12.75" customHeight="1" s="118">
      <c r="A33" s="124" t="n"/>
      <c r="B33" s="142" t="inlineStr">
        <is>
          <t>Softshell</t>
        </is>
      </c>
      <c r="C33" s="199" t="n"/>
      <c r="D33" s="197">
        <f>SUMPRODUCT(--('My order'!$B30:$B230="Softshell"),--('My order'!$C30:$C230="Man"),--('My order'!$D30:$D230="S"))</f>
        <v/>
      </c>
      <c r="E33" s="197">
        <f>SUMPRODUCT(--('My order'!$B30:$B230="Softshell"),--('My order'!$C30:$C230="Man"),--('My order'!$D30:$D230="M"))</f>
        <v/>
      </c>
      <c r="F33" s="197">
        <f>SUMPRODUCT(--('My order'!$B30:$B230="Softshell"),--('My order'!$C30:$C230="Man"),--('My order'!$D30:$D230="L"))</f>
        <v/>
      </c>
      <c r="G33" s="197">
        <f>SUMPRODUCT(--('My order'!$B30:$B230="Softshell"),--('My order'!$C30:$C230="Man"),--('My order'!$D30:$D230="XL"))</f>
        <v/>
      </c>
      <c r="H33" s="197">
        <f>SUMPRODUCT(--('My order'!$B30:$B230="Softshell"),--('My order'!$C30:$C230="Man"),--('My order'!$D30:$D230="XXL"))</f>
        <v/>
      </c>
      <c r="I33" s="197">
        <f>SUMPRODUCT(--('My order'!$B30:$B230="Softshell"),--('My order'!$C30:$C230="Man"),--('My order'!$D30:$D230="XXXL"))</f>
        <v/>
      </c>
      <c r="J33" s="198" t="n"/>
      <c r="K33" s="142" t="inlineStr">
        <is>
          <t>Softshell</t>
        </is>
      </c>
      <c r="L33" s="199" t="n"/>
      <c r="M33" s="197">
        <f>SUMPRODUCT(--('My order'!$B30:$B230="Softshell"),--('My order'!$C30:$C230="Woman"),--('My order'!$D30:$D230="S"))</f>
        <v/>
      </c>
      <c r="N33" s="197">
        <f>SUMPRODUCT(--('My order'!$B30:$B230="Softshell"),--('My order'!$C30:$C230="Woman"),--('My order'!$D30:$D230="M"))</f>
        <v/>
      </c>
      <c r="O33" s="197">
        <f>SUMPRODUCT(--('My order'!$B30:$B230="Softshell"),--('My order'!$C30:$C230="Woman"),--('My order'!$D30:$D230="L"))</f>
        <v/>
      </c>
      <c r="P33" s="197">
        <f>SUMPRODUCT(--('My order'!$B30:$B230="Softshell"),--('My order'!$C30:$C230="Woman"),--('My order'!$D30:$D230="XL"))</f>
        <v/>
      </c>
      <c r="Q33" s="197">
        <f>SUMPRODUCT(--('My order'!$B30:$B230="Softshell"),--('My order'!$C30:$C230="Woman"),--('My order'!$D30:$D230="XXL"))</f>
        <v/>
      </c>
      <c r="R33" s="124" t="n"/>
      <c r="S33" s="142" t="inlineStr">
        <is>
          <t>Softshell</t>
        </is>
      </c>
      <c r="T33" s="203" t="n"/>
      <c r="U33" s="203" t="n"/>
      <c r="V33" s="203" t="n"/>
      <c r="W33" s="124" t="n"/>
      <c r="X33" s="124" t="n"/>
      <c r="Y33" s="124" t="n"/>
    </row>
    <row r="34" ht="12.75" customHeight="1" s="118">
      <c r="A34" s="124" t="n"/>
      <c r="B34" s="142" t="inlineStr">
        <is>
          <t>Surf Top</t>
        </is>
      </c>
      <c r="C34" s="197">
        <f>SUMPRODUCT(--('My order'!$B30:$B230="Surf_Top"),--('My order'!$C30:$C230="Man"),--('My order'!$D30:$D230="XS"))</f>
        <v/>
      </c>
      <c r="D34" s="197">
        <f>SUMPRODUCT(--('My order'!$B30:$B230="Surf_Top"),--('My order'!$C30:$C230="Man"),--('My order'!$D30:$D230="S"))</f>
        <v/>
      </c>
      <c r="E34" s="197">
        <f>SUMPRODUCT(--('My order'!$B30:$B230="Surf_Top"),--('My order'!$C30:$C230="Man"),--('My order'!$D30:$D230="M"))</f>
        <v/>
      </c>
      <c r="F34" s="197">
        <f>SUMPRODUCT(--('My order'!$B30:$B230="Surf_Top"),--('My order'!$C30:$C230="Man"),--('My order'!$D30:$D230="L"))</f>
        <v/>
      </c>
      <c r="G34" s="197">
        <f>SUMPRODUCT(--('My order'!$B30:$B230="Surf_Top"),--('My order'!$C30:$C230="Man"),--('My order'!$D30:$D230="XL"))</f>
        <v/>
      </c>
      <c r="H34" s="197">
        <f>SUMPRODUCT(--('My order'!$B30:$B230="Surf_Top"),--('My order'!$C30:$C230="Man"),--('My order'!$D30:$D230="XXL"))</f>
        <v/>
      </c>
      <c r="I34" s="197">
        <f>SUMPRODUCT(--('My order'!$B30:$B230="Surf_Top"),--('My order'!$C30:$C230="Man"),--('My order'!$D30:$D230="XXXL"))</f>
        <v/>
      </c>
      <c r="J34" s="198" t="n"/>
      <c r="K34" s="142" t="inlineStr">
        <is>
          <t>Surf Top</t>
        </is>
      </c>
      <c r="L34" s="199" t="n"/>
      <c r="M34" s="197">
        <f>SUMPRODUCT(--('My order'!$B30:$B230="Surf_Top"),--('My order'!$C30:$C230="Woman"),--('My order'!$D30:$D230="S"))</f>
        <v/>
      </c>
      <c r="N34" s="197">
        <f>SUMPRODUCT(--('My order'!$B30:$B230="Surf_Top"),--('My order'!$C30:$C230="Woman"),--('My order'!$D30:$D230="M"))</f>
        <v/>
      </c>
      <c r="O34" s="197">
        <f>SUMPRODUCT(--('My order'!$B30:$B230="Surf_Top"),--('My order'!$C30:$C230="Woman"),--('My order'!$D30:$D230="L"))</f>
        <v/>
      </c>
      <c r="P34" s="197">
        <f>SUMPRODUCT(--('My order'!$B30:$B230="Surf_Top"),--('My order'!$C30:$C230="Woman"),--('My order'!$D30:$D230="XL"))</f>
        <v/>
      </c>
      <c r="Q34" s="197">
        <f>SUMPRODUCT(--('My order'!$B30:$B230="Surf_Top"),--('My order'!$C30:$C230="Woman"),--('My order'!$D30:$D230="XXL"))</f>
        <v/>
      </c>
      <c r="R34" s="124" t="n"/>
      <c r="S34" s="142" t="inlineStr">
        <is>
          <t>Surf Top</t>
        </is>
      </c>
      <c r="T34" s="204">
        <f>SUMPRODUCT(--('My order'!$B30:$B230="Surf_Top"),--('My order'!$C30:$C230="Kid"),--('My order'!$D30:$D230=6))</f>
        <v/>
      </c>
      <c r="U34" s="204">
        <f>SUMPRODUCT(--('My order'!$B30:$B230="Surf_Top"),--('My order'!$C30:$C230="Kid"),--('My order'!$D30:$D230=8))</f>
        <v/>
      </c>
      <c r="V34" s="204">
        <f>SUMPRODUCT(--('My order'!$B30:$B230="Surf_Top"),--('My order'!$C30:$C230="Kid"),--('My order'!$D30:$D230=10))</f>
        <v/>
      </c>
      <c r="W34" s="124" t="n"/>
      <c r="X34" s="124" t="n"/>
      <c r="Y34" s="124" t="n"/>
    </row>
    <row r="35" ht="12.75" customHeight="1" s="118">
      <c r="A35" s="124" t="n"/>
      <c r="B35" s="142" t="inlineStr">
        <is>
          <t>Ziklo</t>
        </is>
      </c>
      <c r="C35" s="197">
        <f>SUMPRODUCT(--('My order'!$B30:$B230="Ziklo"),--('My order'!$C30:$C230="Man"),--('My order'!$D30:$D230="XS"))</f>
        <v/>
      </c>
      <c r="D35" s="197">
        <f>SUMPRODUCT(--('My order'!$B30:$B230="Ziklo"),--('My order'!$C30:$C230="Man"),--('My order'!$D30:$D230="S"))</f>
        <v/>
      </c>
      <c r="E35" s="197">
        <f>SUMPRODUCT(--('My order'!$B30:$B230="Ziklo"),--('My order'!$C30:$C230="Man"),--('My order'!$D30:$D230="M"))</f>
        <v/>
      </c>
      <c r="F35" s="197">
        <f>SUMPRODUCT(--('My order'!$B30:$B230="Ziklo"),--('My order'!$C30:$C230="Man"),--('My order'!$D30:$D230="L"))</f>
        <v/>
      </c>
      <c r="G35" s="197">
        <f>SUMPRODUCT(--('My order'!$B30:$B230="Ziklo"),--('My order'!$C30:$C230="Man"),--('My order'!$D30:$D230="XL"))</f>
        <v/>
      </c>
      <c r="H35" s="197">
        <f>SUMPRODUCT(--('My order'!$B30:$B230="Ziklo"),--('My order'!$C30:$C230="Man"),--('My order'!$D30:$D230="XXL"))</f>
        <v/>
      </c>
      <c r="I35" s="197">
        <f>SUMPRODUCT(--('My order'!$B30:$B230="Ziklo"),--('My order'!$C30:$C230="Man"),--('My order'!$D30:$D230="XXXL"))</f>
        <v/>
      </c>
      <c r="J35" s="198" t="n"/>
      <c r="K35" s="142" t="inlineStr">
        <is>
          <t>Ziklo</t>
        </is>
      </c>
      <c r="L35" s="199" t="n"/>
      <c r="M35" s="197">
        <f>SUMPRODUCT(--('My order'!$B30:$B230="Ziklo"),--('My order'!$C30:$C230="Woman"),--('My order'!$D30:$D230="S"))</f>
        <v/>
      </c>
      <c r="N35" s="197">
        <f>SUMPRODUCT(--('My order'!$B30:$B230="Ziklo"),--('My order'!$C30:$C230="Woman"),--('My order'!$D30:$D230="M"))</f>
        <v/>
      </c>
      <c r="O35" s="197">
        <f>SUMPRODUCT(--('My order'!$B30:$B230="Ziklo"),--('My order'!$C30:$C230="Woman"),--('My order'!$D30:$D230="L"))</f>
        <v/>
      </c>
      <c r="P35" s="197">
        <f>SUMPRODUCT(--('My order'!$B30:$B230="Ziklo"),--('My order'!$C30:$C230="Woman"),--('My order'!$D30:$D230="XL"))</f>
        <v/>
      </c>
      <c r="Q35" s="197">
        <f>SUMPRODUCT(--('My order'!$B30:$B230="Ziklo"),--('My order'!$C30:$C230="Woman"),--('My order'!$D30:$D230="XXL"))</f>
        <v/>
      </c>
      <c r="R35" s="124" t="n"/>
      <c r="S35" s="202" t="inlineStr">
        <is>
          <t>Ziklo</t>
        </is>
      </c>
      <c r="T35" s="204">
        <f>SUMPRODUCT(--('My order'!$B30:$B230="Ziklo"),--('My order'!$C30:$C230="Kid"),--('My order'!$D30:$D230=6))</f>
        <v/>
      </c>
      <c r="U35" s="204">
        <f>SUMPRODUCT(--('My order'!$B30:$B230="Ziklo"),--('My order'!$C30:$C230="Kid"),--('My order'!$D30:$D230=8))</f>
        <v/>
      </c>
      <c r="V35" s="204">
        <f>SUMPRODUCT(--('My order'!$B30:$B230="Ziklo"),--('My order'!$C30:$C230="Kid"),--('My order'!$D30:$D230=10))</f>
        <v/>
      </c>
      <c r="W35" s="124" t="n"/>
      <c r="X35" s="124" t="n"/>
      <c r="Y35" s="124" t="n"/>
    </row>
    <row r="36" ht="12.75" customHeight="1" s="118">
      <c r="A36" s="124" t="n"/>
      <c r="B36" s="150">
        <f>IF('My order'!H2="English","Quantity by size","Quantité par taille")</f>
        <v/>
      </c>
      <c r="C36" s="134">
        <f>SUM(C11:C35)</f>
        <v/>
      </c>
      <c r="D36" s="134">
        <f>SUM(D11:D35)</f>
        <v/>
      </c>
      <c r="E36" s="134">
        <f>SUM(E11:E35)</f>
        <v/>
      </c>
      <c r="F36" s="134">
        <f>SUM(F11:F35)</f>
        <v/>
      </c>
      <c r="G36" s="134">
        <f>SUM(G11:G35)</f>
        <v/>
      </c>
      <c r="H36" s="134">
        <f>SUM(H11:H35)</f>
        <v/>
      </c>
      <c r="I36" s="134">
        <f>SUM(I11:I35)</f>
        <v/>
      </c>
      <c r="J36" s="119" t="n"/>
      <c r="K36" s="150">
        <f>IF('My order'!H2="English","Quantity by size","Quantité par taille")</f>
        <v/>
      </c>
      <c r="L36" s="199" t="n"/>
      <c r="M36" s="134">
        <f>SUM(M11:M35)</f>
        <v/>
      </c>
      <c r="N36" s="134">
        <f>SUM(N11:N35)</f>
        <v/>
      </c>
      <c r="O36" s="134">
        <f>SUM(O11:O35)</f>
        <v/>
      </c>
      <c r="P36" s="134">
        <f>SUM(P11:P35)</f>
        <v/>
      </c>
      <c r="Q36" s="134">
        <f>SUM(Q11:Q35)</f>
        <v/>
      </c>
      <c r="R36" s="124" t="n"/>
      <c r="S36" s="152">
        <f>IF('My order'!H2="English","Quantity by size","Quantité par taille")</f>
        <v/>
      </c>
      <c r="T36" s="153">
        <f>SUM(T11:T35)</f>
        <v/>
      </c>
      <c r="U36" s="153">
        <f>SUM(U11:U35)</f>
        <v/>
      </c>
      <c r="V36" s="153">
        <f>SUM(V11:V35)</f>
        <v/>
      </c>
      <c r="W36" s="124" t="n"/>
      <c r="X36" s="124" t="n"/>
      <c r="Y36" s="124" t="n"/>
    </row>
    <row r="37" ht="12.75" customHeight="1" s="118">
      <c r="A37" s="124" t="n"/>
      <c r="B37" s="205">
        <f>IF('My order'!H2="English","Total Men","Total Homme")</f>
        <v/>
      </c>
      <c r="C37" s="191">
        <f>SUM(C36:I36)</f>
        <v/>
      </c>
      <c r="D37" s="131" t="n"/>
      <c r="E37" s="131" t="n"/>
      <c r="F37" s="131" t="n"/>
      <c r="G37" s="131" t="n"/>
      <c r="H37" s="131" t="n"/>
      <c r="I37" s="132" t="n"/>
      <c r="J37" s="192" t="n"/>
      <c r="K37" s="206">
        <f>IF('My order'!H2="English","Total Women","Total Femme")</f>
        <v/>
      </c>
      <c r="L37" s="191">
        <f>SUM(L36:Q36)</f>
        <v/>
      </c>
      <c r="M37" s="131" t="n"/>
      <c r="N37" s="131" t="n"/>
      <c r="O37" s="131" t="n"/>
      <c r="P37" s="131" t="n"/>
      <c r="Q37" s="132" t="n"/>
      <c r="R37" s="124" t="n"/>
      <c r="S37" s="206">
        <f>IF('My order'!H2="English","Total Kids","Total Enfant")</f>
        <v/>
      </c>
      <c r="T37" s="191">
        <f>SUM(T36:V36)</f>
        <v/>
      </c>
      <c r="U37" s="131" t="n"/>
      <c r="V37" s="132" t="n"/>
      <c r="W37" s="124" t="n"/>
      <c r="X37" s="124" t="n"/>
      <c r="Y37" s="124" t="n"/>
    </row>
    <row r="38" ht="12.75" customHeight="1" s="118">
      <c r="A38" s="124" t="n"/>
      <c r="J38" s="124" t="n"/>
      <c r="R38" s="124" t="n"/>
      <c r="S38" s="207" t="n"/>
      <c r="T38" s="208" t="n"/>
      <c r="U38" s="208" t="n"/>
      <c r="V38" s="192" t="n"/>
      <c r="W38" s="124" t="n"/>
      <c r="X38" s="124" t="n"/>
      <c r="Y38" s="124" t="n"/>
    </row>
    <row r="39" ht="12.75" customHeight="1" s="118">
      <c r="A39" s="124" t="n"/>
      <c r="B39" s="187">
        <f>IF('My order'!H2="English","Men's bottoms by size and type","Bas Homme par taille et type")</f>
        <v/>
      </c>
      <c r="C39" s="131" t="n"/>
      <c r="D39" s="131" t="n"/>
      <c r="E39" s="131" t="n"/>
      <c r="F39" s="131" t="n"/>
      <c r="G39" s="131" t="n"/>
      <c r="H39" s="131" t="n"/>
      <c r="I39" s="132" t="n"/>
      <c r="J39" s="124" t="n"/>
      <c r="K39" s="187">
        <f>IF('My order'!H2="English","Women's bottoms by size and type","Bas Femme par taille et type")</f>
        <v/>
      </c>
      <c r="L39" s="131" t="n"/>
      <c r="M39" s="131" t="n"/>
      <c r="N39" s="131" t="n"/>
      <c r="O39" s="131" t="n"/>
      <c r="P39" s="131" t="n"/>
      <c r="Q39" s="132" t="n"/>
      <c r="R39" s="124" t="n"/>
      <c r="S39" s="187">
        <f>IF('My order'!H2="English","Accessories","Accessoires")</f>
        <v/>
      </c>
      <c r="T39" s="187" t="n"/>
      <c r="U39" s="187" t="n"/>
      <c r="V39" s="192" t="n"/>
      <c r="W39" s="187">
        <f>IF('My order'!H2="English","Flags","Drapeaux")</f>
        <v/>
      </c>
      <c r="X39" s="187" t="n"/>
      <c r="Y39" s="124" t="n"/>
    </row>
    <row r="40" ht="12.75" customHeight="1" s="118">
      <c r="A40" s="124" t="n"/>
      <c r="B40" s="190">
        <f>IF('My order'!H21="English","Product","Produit")</f>
        <v/>
      </c>
      <c r="C40" s="191">
        <f>IF('My order'!H21="English","Quantity","Quantité")</f>
        <v/>
      </c>
      <c r="D40" s="131" t="n"/>
      <c r="E40" s="131" t="n"/>
      <c r="F40" s="131" t="n"/>
      <c r="G40" s="131" t="n"/>
      <c r="H40" s="131" t="n"/>
      <c r="I40" s="132" t="n"/>
      <c r="J40" s="124" t="n"/>
      <c r="K40" s="190">
        <f>IF('My order'!H21="English","Product","Produit")</f>
        <v/>
      </c>
      <c r="L40" s="190" t="n"/>
      <c r="M40" s="191">
        <f>IF('My order'!H21="English","Quantity","Quantité")</f>
        <v/>
      </c>
      <c r="N40" s="131" t="n"/>
      <c r="O40" s="131" t="n"/>
      <c r="P40" s="131" t="n"/>
      <c r="Q40" s="132" t="n"/>
      <c r="R40" s="124" t="n"/>
      <c r="S40" s="209">
        <f>IF('My order'!H2="English","Product","Produit")</f>
        <v/>
      </c>
      <c r="T40" s="191">
        <f>IF('My order'!H2="English","Quantity","Quantité")</f>
        <v/>
      </c>
      <c r="U40" s="191" t="n"/>
      <c r="V40" s="124" t="n"/>
      <c r="W40" s="209">
        <f>IF('My order'!L2="English","Product","Produit")</f>
        <v/>
      </c>
      <c r="X40" s="191">
        <f>IF('My order'!L2="English","Quantity","Quantité")</f>
        <v/>
      </c>
      <c r="Y40" s="124" t="n"/>
    </row>
    <row r="41" ht="12.75" customHeight="1" s="118">
      <c r="A41" s="124" t="n"/>
      <c r="B41" s="193" t="n"/>
      <c r="C41" s="194" t="inlineStr">
        <is>
          <t>XS</t>
        </is>
      </c>
      <c r="D41" s="194" t="inlineStr">
        <is>
          <t>S</t>
        </is>
      </c>
      <c r="E41" s="194" t="inlineStr">
        <is>
          <t>M</t>
        </is>
      </c>
      <c r="F41" s="194" t="inlineStr">
        <is>
          <t>L</t>
        </is>
      </c>
      <c r="G41" s="194" t="inlineStr">
        <is>
          <t>XL</t>
        </is>
      </c>
      <c r="H41" s="194" t="inlineStr">
        <is>
          <t>XXL</t>
        </is>
      </c>
      <c r="I41" s="194" t="inlineStr">
        <is>
          <t>XXXL</t>
        </is>
      </c>
      <c r="J41" s="124" t="n"/>
      <c r="K41" s="193" t="n"/>
      <c r="L41" s="190" t="inlineStr">
        <is>
          <t>XS</t>
        </is>
      </c>
      <c r="M41" s="194" t="inlineStr">
        <is>
          <t>S</t>
        </is>
      </c>
      <c r="N41" s="194" t="inlineStr">
        <is>
          <t>M</t>
        </is>
      </c>
      <c r="O41" s="194" t="inlineStr">
        <is>
          <t>L</t>
        </is>
      </c>
      <c r="P41" s="194" t="inlineStr">
        <is>
          <t>XL</t>
        </is>
      </c>
      <c r="Q41" s="194" t="inlineStr">
        <is>
          <t>XXL</t>
        </is>
      </c>
      <c r="R41" s="124" t="n"/>
      <c r="S41" s="209" t="n"/>
      <c r="T41" s="210" t="inlineStr">
        <is>
          <t>S-M</t>
        </is>
      </c>
      <c r="U41" s="210" t="inlineStr">
        <is>
          <t>L-XL</t>
        </is>
      </c>
      <c r="V41" s="124" t="n"/>
      <c r="W41" s="200">
        <f>IF('My order'!H2="English","Flag 150x85","Drapeau 150x85")</f>
        <v/>
      </c>
      <c r="X41" s="197">
        <f>SUMPRODUCT(--('My order'!$B30:$B230="Rectangular_Flag"),--('My order'!$D30:$D230="150x85"))</f>
        <v/>
      </c>
      <c r="Y41" s="124" t="n"/>
    </row>
    <row r="42" ht="12.75" customHeight="1" s="118">
      <c r="A42" s="124" t="n"/>
      <c r="B42" s="142" t="inlineStr">
        <is>
          <t>Half Leg</t>
        </is>
      </c>
      <c r="C42" s="197">
        <f>SUMPRODUCT(--('My order'!$B30:$B230="Half_Leg"),--('My order'!$C30:$C230="Man"),--('My order'!$D30:$D230="XS"))</f>
        <v/>
      </c>
      <c r="D42" s="197">
        <f>SUMPRODUCT(--('My order'!$B30:$B230="Half_Leg"),--('My order'!$C30:$C230="Man"),--('My order'!$D30:$D230="S"))</f>
        <v/>
      </c>
      <c r="E42" s="197">
        <f>SUMPRODUCT(--('My order'!$B30:$B230="Half_Leg"),--('My order'!$C30:$C230="Man"),--('My order'!$D30:$D230="M"))</f>
        <v/>
      </c>
      <c r="F42" s="197">
        <f>SUMPRODUCT(--('My order'!$B30:$B230="Half_Leg"),--('My order'!$C30:$C230="Man"),--('My order'!$D30:$D230="L"))</f>
        <v/>
      </c>
      <c r="G42" s="197">
        <f>SUMPRODUCT(--('My order'!$B30:$B230="Half_Leg"),--('My order'!$C30:$C230="Man"),--('My order'!$D30:$D230="XL"))</f>
        <v/>
      </c>
      <c r="H42" s="197">
        <f>SUMPRODUCT(--('My order'!$B30:$B230="Half_Leg"),--('My order'!$C30:$C230="Man"),--('My order'!$D30:$D230="XXL"))</f>
        <v/>
      </c>
      <c r="I42" s="199" t="n"/>
      <c r="J42" s="198" t="n"/>
      <c r="K42" s="142" t="inlineStr">
        <is>
          <t>Half Leg</t>
        </is>
      </c>
      <c r="L42" s="211">
        <f>SUMPRODUCT(--('My order'!$B30:$B230="Half_Leg"),--('My order'!$C30:$C230="Woman"),--('My order'!$D30:$D230="XS"))</f>
        <v/>
      </c>
      <c r="M42" s="197">
        <f>SUMPRODUCT(--('My order'!$B30:$B230="Half_Leg"),--('My order'!$C30:$C230="Woman"),--('My order'!$D30:$D230="S"))</f>
        <v/>
      </c>
      <c r="N42" s="197">
        <f>SUMPRODUCT(--('My order'!$B30:$B230="Half_Leg"),--('My order'!$C30:$C230="Woman"),--('My order'!$D30:$D230="M"))</f>
        <v/>
      </c>
      <c r="O42" s="197">
        <f>SUMPRODUCT(--('My order'!$B30:$B230="Half_Leg"),--('My order'!$C30:$C230="Woman"),--('My order'!$D30:$D230="L"))</f>
        <v/>
      </c>
      <c r="P42" s="197">
        <f>SUMPRODUCT(--('My order'!$B30:$B230="Half_Leg"),--('My order'!$C30:$C230="Woman"),--('My order'!$D30:$D230="XL"))</f>
        <v/>
      </c>
      <c r="Q42" s="197">
        <f>SUMPRODUCT(--('My order'!$B30:$B230="Half_Leg"),--('My order'!$C30:$C230="Woman"),--('My order'!$D30:$D230="XXL"))</f>
        <v/>
      </c>
      <c r="R42" s="124" t="n"/>
      <c r="S42" s="200">
        <f>IF('My order'!H2="English","Sleeves Men","Manches Homme")</f>
        <v/>
      </c>
      <c r="T42" s="197">
        <f>SUMPRODUCT(--('My order'!$B30:$B230="Compression_Sleeves"),--('My order'!$C30:$C230="Man"),--('My order'!$D30:$D230="S-M"))</f>
        <v/>
      </c>
      <c r="U42" s="197">
        <f>SUMPRODUCT(--('My order'!$B30:$B230="Compression_Sleeves"),--('My order'!$C30:$C230="Man"),--('My order'!$D30:$D230="L-XL"))</f>
        <v/>
      </c>
      <c r="V42" s="124" t="n"/>
      <c r="W42" s="200">
        <f>IF('My order'!H2="English","Flag 134x123","Drapeau 134x123")</f>
        <v/>
      </c>
      <c r="X42" s="197">
        <f>SUMPRODUCT(--('My order'!$B30:$B230="Rectangular_Flag"),--('My order'!$D30:$D230="134x123"))</f>
        <v/>
      </c>
      <c r="Y42" s="124" t="n"/>
    </row>
    <row r="43" ht="12.75" customHeight="1" s="118">
      <c r="A43" s="124" t="n"/>
      <c r="B43" s="142" t="inlineStr">
        <is>
          <t>Korsair</t>
        </is>
      </c>
      <c r="C43" s="197">
        <f>SUMPRODUCT(--('My order'!$B30:$B230="Korsair"),--('My order'!$C30:$C230="Man"),--('My order'!$D30:$D230="XS"))</f>
        <v/>
      </c>
      <c r="D43" s="197">
        <f>SUMPRODUCT(--('My order'!$B30:$B230="Korsair"),--('My order'!$C30:$C230="Man"),--('My order'!$D30:$D230="S"))</f>
        <v/>
      </c>
      <c r="E43" s="197">
        <f>SUMPRODUCT(--('My order'!$B30:$B230="Korsair"),--('My order'!$C30:$C230="Man"),--('My order'!$D30:$D230="M"))</f>
        <v/>
      </c>
      <c r="F43" s="197">
        <f>SUMPRODUCT(--('My order'!$B30:$B230="Korsair"),--('My order'!$C30:$C230="Man"),--('My order'!$D30:$D230="L"))</f>
        <v/>
      </c>
      <c r="G43" s="197">
        <f>SUMPRODUCT(--('My order'!$B30:$B230="Korsair"),--('My order'!$C30:$C230="Man"),--('My order'!$D30:$D230="XL"))</f>
        <v/>
      </c>
      <c r="H43" s="197">
        <f>SUMPRODUCT(--('My order'!$B30:$B230="Korsair"),--('My order'!$C30:$C230="Man"),--('My order'!$D30:$D230="XXL"))</f>
        <v/>
      </c>
      <c r="I43" s="199" t="n"/>
      <c r="J43" s="198" t="n"/>
      <c r="K43" s="142" t="inlineStr">
        <is>
          <t>Korsair</t>
        </is>
      </c>
      <c r="L43" s="211">
        <f>SUMPRODUCT(--('My order'!$B30:$B230="Korsair"),--('My order'!$C30:$C230="Woman"),--('My order'!$D30:$D230="XS"))</f>
        <v/>
      </c>
      <c r="M43" s="197">
        <f>SUMPRODUCT(--('My order'!$B30:$B230="Korsair"),--('My order'!$C30:$C230="Woman"),--('My order'!$D30:$D230="S"))</f>
        <v/>
      </c>
      <c r="N43" s="197">
        <f>SUMPRODUCT(--('My order'!$B30:$B230="Korsair"),--('My order'!$C30:$C230="Woman"),--('My order'!$D30:$D230="M"))</f>
        <v/>
      </c>
      <c r="O43" s="197">
        <f>SUMPRODUCT(--('My order'!$B30:$B230="Korsair"),--('My order'!$C30:$C230="Woman"),--('My order'!$D30:$D230="L"))</f>
        <v/>
      </c>
      <c r="P43" s="197">
        <f>SUMPRODUCT(--('My order'!$B30:$B230="Korsair"),--('My order'!$C30:$C230="Woman"),--('My order'!$D30:$D230="XL"))</f>
        <v/>
      </c>
      <c r="Q43" s="197">
        <f>SUMPRODUCT(--('My order'!$B30:$B230="Korsair"),--('My order'!$C30:$C230="Woman"),--('My order'!$D30:$D230="XXL"))</f>
        <v/>
      </c>
      <c r="R43" s="124" t="n"/>
      <c r="S43" s="200">
        <f>IF('My order'!H2="English","Sleeves Women","Manches Femme")</f>
        <v/>
      </c>
      <c r="T43" s="204">
        <f>SUMPRODUCT(--('My order'!$B30:$B230="Compression_Sleeves"),--('My order'!$C30:$C230="Woman"),--('My order'!$D30:$D230="S-M"))</f>
        <v/>
      </c>
      <c r="U43" s="204">
        <f>SUMPRODUCT(--('My order'!$B30:$B230="Compression_Sleeves"),--('My order'!$C30:$C230="Woman"),--('My order'!$D30:$D230="L-XL"))</f>
        <v/>
      </c>
      <c r="V43" s="124" t="n"/>
      <c r="W43" s="200">
        <f>IF('My order'!H2="English","Beach Flag 450x80","Oriflamme 450x80")</f>
        <v/>
      </c>
      <c r="X43" s="197">
        <f>SUMPRODUCT(--('My order'!$B30:$B230="Beach_Flag"),--('My order'!$D30:$D230="450x80"))</f>
        <v/>
      </c>
      <c r="Y43" s="124" t="n"/>
    </row>
    <row r="44" ht="12.75" customHeight="1" s="118">
      <c r="A44" s="124" t="n"/>
      <c r="B44" s="142" t="inlineStr">
        <is>
          <t>Korsair Plus</t>
        </is>
      </c>
      <c r="C44" s="197">
        <f>SUMPRODUCT(--('My order'!$B30:$B230="Korsair_Plus"),--('My order'!$C30:$C230="Man"),--('My order'!$D30:$D230="XS"))</f>
        <v/>
      </c>
      <c r="D44" s="197">
        <f>SUMPRODUCT(--('My order'!$B30:$B230="Korsair_Plus"),--('My order'!$C30:$C230="Man"),--('My order'!$D30:$D230="S"))</f>
        <v/>
      </c>
      <c r="E44" s="197">
        <f>SUMPRODUCT(--('My order'!$B30:$B230="Korsair_Plus"),--('My order'!$C30:$C230="Man"),--('My order'!$D30:$D230="M"))</f>
        <v/>
      </c>
      <c r="F44" s="197">
        <f>SUMPRODUCT(--('My order'!$B30:$B230="Korsair_Plus"),--('My order'!$C30:$C230="Man"),--('My order'!$D30:$D230="L"))</f>
        <v/>
      </c>
      <c r="G44" s="197">
        <f>SUMPRODUCT(--('My order'!$B30:$B230="Korsair_Plus"),--('My order'!$C30:$C230="Man"),--('My order'!$D30:$D230="XL"))</f>
        <v/>
      </c>
      <c r="H44" s="197">
        <f>SUMPRODUCT(--('My order'!$B30:$B230="Korsair_Plus"),--('My order'!$C30:$C230="Man"),--('My order'!$D30:$D230="XXL"))</f>
        <v/>
      </c>
      <c r="I44" s="199" t="n"/>
      <c r="J44" s="198" t="n"/>
      <c r="K44" s="142" t="inlineStr">
        <is>
          <t>Korsair</t>
        </is>
      </c>
      <c r="L44" s="211">
        <f>SUMPRODUCT(--('My order'!$B30:$B230="Korsair_Plus"),--('My order'!$C30:$C230="Woman"),--('My order'!$D30:$D230="XS"))</f>
        <v/>
      </c>
      <c r="M44" s="197">
        <f>SUMPRODUCT(--('My order'!$B30:$B230="Korsair_Plus"),--('My order'!$C30:$C230="Woman"),--('My order'!$D30:$D230="S"))</f>
        <v/>
      </c>
      <c r="N44" s="197">
        <f>SUMPRODUCT(--('My order'!$B30:$B230="Korsair_Plus"),--('My order'!$C30:$C230="Woman"),--('My order'!$D30:$D230="M"))</f>
        <v/>
      </c>
      <c r="O44" s="197">
        <f>SUMPRODUCT(--('My order'!$B30:$B230="Korsair_Plus"),--('My order'!$C30:$C230="Woman"),--('My order'!$D30:$D230="L"))</f>
        <v/>
      </c>
      <c r="P44" s="197">
        <f>SUMPRODUCT(--('My order'!$B30:$B230="Korsair_Plus"),--('My order'!$C30:$C230="Woman"),--('My order'!$D30:$D230="XL"))</f>
        <v/>
      </c>
      <c r="Q44" s="197">
        <f>SUMPRODUCT(--('My order'!$B30:$B230="Korsair_Plus"),--('My order'!$C30:$C230="Woman"),--('My order'!$D30:$D230="XXL"))</f>
        <v/>
      </c>
      <c r="R44" s="124" t="n"/>
      <c r="S44" s="212">
        <f>IF('My order'!H2="English","Total Sleeves","Total Manches")</f>
        <v/>
      </c>
      <c r="T44" s="191">
        <f>SUM(T42:U43)</f>
        <v/>
      </c>
      <c r="U44" s="132" t="n"/>
      <c r="V44" s="124" t="n"/>
      <c r="W44" s="200">
        <f>IF('My order'!H2="English","Beach Flag 350x62","Oriflamme 350x62")</f>
        <v/>
      </c>
      <c r="X44" s="197">
        <f>SUMPRODUCT(--('My order'!$B31:$B231="Beach_Flag"),--('My order'!$D31:$D231="350x62"))</f>
        <v/>
      </c>
      <c r="Y44" s="124" t="n"/>
    </row>
    <row r="45" ht="12.75" customHeight="1" s="118">
      <c r="A45" s="124" t="n"/>
      <c r="B45" s="142" t="inlineStr">
        <is>
          <t>Legging</t>
        </is>
      </c>
      <c r="C45" s="197">
        <f>SUMPRODUCT(--('My order'!$B30:$B230="Legging"),--('My order'!$C30:$C230="Man"),--('My order'!$D30:$D230="XS"))</f>
        <v/>
      </c>
      <c r="D45" s="197">
        <f>SUMPRODUCT(--('My order'!$B30:$B230="Legging"),--('My order'!$C30:$C230="Man"),--('My order'!$D30:$D230="M"))</f>
        <v/>
      </c>
      <c r="E45" s="197">
        <f>SUMPRODUCT(--('My order'!$B30:$B230="Legging"),--('My order'!$C30:$C230="Man"),--('My order'!$D30:$D230="L"))</f>
        <v/>
      </c>
      <c r="F45" s="197">
        <f>SUMPRODUCT(--('My order'!$B30:$B230="Legging"),--('My order'!$C30:$C230="Man"),--('My order'!$D30:$D230="L"))</f>
        <v/>
      </c>
      <c r="G45" s="197">
        <f>SUMPRODUCT(--('My order'!$B30:$B230="Legging"),--('My order'!$C30:$C230="Man"),--('My order'!$D30:$D230="XL"))</f>
        <v/>
      </c>
      <c r="H45" s="197">
        <f>SUMPRODUCT(--('My order'!$B30:$B230="Legging"),--('My order'!$C30:$C230="Man"),--('My order'!$D30:$D230="XXL"))</f>
        <v/>
      </c>
      <c r="I45" s="199" t="n"/>
      <c r="J45" s="198" t="n"/>
      <c r="K45" s="142" t="inlineStr">
        <is>
          <t>Legging</t>
        </is>
      </c>
      <c r="L45" s="211">
        <f>SUMPRODUCT(--('My order'!$B30:$B230="Legging"),--('My order'!$C30:$C230="Woman"),--('My order'!$D30:$D230="XS"))</f>
        <v/>
      </c>
      <c r="M45" s="197">
        <f>SUMPRODUCT(--('My order'!$B30:$B230="Legging"),--('My order'!$C30:$C230="Woman"),--('My order'!$D30:$D230="S"))</f>
        <v/>
      </c>
      <c r="N45" s="197">
        <f>SUMPRODUCT(--('My order'!$B30:$B230="Legging"),--('My order'!$C30:$C230="Woman"),--('My order'!$D30:$D230="M"))</f>
        <v/>
      </c>
      <c r="O45" s="197">
        <f>SUMPRODUCT(--('My order'!$B30:$B230="Legging"),--('My order'!$C30:$C230="Woman"),--('My order'!$D30:$D230="L"))</f>
        <v/>
      </c>
      <c r="P45" s="197">
        <f>SUMPRODUCT(--('My order'!$B30:$B230="Legging"),--('My order'!$C30:$C230="Woman"),--('My order'!$D30:$D230="XL"))</f>
        <v/>
      </c>
      <c r="Q45" s="197">
        <f>SUMPRODUCT(--('My order'!$B30:$B230="Legging"),--('My order'!$C30:$C230="Woman"),--('My order'!$D30:$D230="XXL"))</f>
        <v/>
      </c>
      <c r="R45" s="124" t="n"/>
      <c r="S45" s="200">
        <f>IF('My order'!H2="English","Flexfit Cap","Casquette Flexfit")</f>
        <v/>
      </c>
      <c r="T45" s="197">
        <f>SUMPRODUCT(--('My order'!$B30:$B230="Cap"),--('My order'!$C30:$C230="Flexfit"),--('My order'!$D30:$D230="S-M"))</f>
        <v/>
      </c>
      <c r="U45" s="197">
        <f>SUMPRODUCT(--('My order'!$B30:$B230="Cap"),--('My order'!$C30:$C230="Flexfit"),--('My order'!$D30:$D230="L-XL"))</f>
        <v/>
      </c>
      <c r="V45" s="124" t="n"/>
      <c r="W45" s="200">
        <f>IF('My order'!H2="English","Beach Flag 250x48","Oriflamme 250x48")</f>
        <v/>
      </c>
      <c r="X45" s="197">
        <f>SUMPRODUCT(--('My order'!$B32:$B232="Beach_Flag"),--('My order'!$D32:$D232="250x48"))</f>
        <v/>
      </c>
      <c r="Y45" s="124" t="n"/>
    </row>
    <row r="46" ht="12.75" customHeight="1" s="118">
      <c r="A46" s="124" t="n"/>
      <c r="B46" s="142" t="inlineStr">
        <is>
          <t>Underwear</t>
        </is>
      </c>
      <c r="C46" s="197">
        <f>SUMPRODUCT(--('My order'!$B30:$B230="Underwear"),--('My order'!$C30:$C230="Man"),--('My order'!$D30:$D230="XS"))</f>
        <v/>
      </c>
      <c r="D46" s="197">
        <f>SUMPRODUCT(--('My order'!$B30:$B230="Underwear"),--('My order'!$C30:$C230="Man"),--('My order'!$D30:$D230="S"))</f>
        <v/>
      </c>
      <c r="E46" s="197">
        <f>SUMPRODUCT(--('My order'!$B30:$B230="Underwear"),--('My order'!$C30:$C230="Man"),--('My order'!$D30:$D230="M"))</f>
        <v/>
      </c>
      <c r="F46" s="197">
        <f>SUMPRODUCT(--('My order'!$B30:$B230="Underwear"),--('My order'!$C30:$C230="Man"),--('My order'!$D30:$D230="L"))</f>
        <v/>
      </c>
      <c r="G46" s="197">
        <f>SUMPRODUCT(--('My order'!$B30:$B230="Underwear"),--('My order'!$C30:$C230="Man"),--('My order'!$D30:$D230="XL"))</f>
        <v/>
      </c>
      <c r="H46" s="197">
        <f>SUMPRODUCT(--('My order'!$B30:$B230="Underwear"),--('My order'!$C30:$C230="Man"),--('My order'!$D30:$D230="XXL"))</f>
        <v/>
      </c>
      <c r="I46" s="199" t="n"/>
      <c r="J46" s="198" t="n"/>
      <c r="K46" s="142" t="inlineStr">
        <is>
          <t>Underwear</t>
        </is>
      </c>
      <c r="L46" s="211">
        <f>SUMPRODUCT(--('My order'!$B30:$B230="Underwear"),--('My order'!$C30:$C230="Woman"),--('My order'!$D30:$D230="XS"))</f>
        <v/>
      </c>
      <c r="M46" s="197">
        <f>SUMPRODUCT(--('My order'!$B30:$B230="Underwear"),--('My order'!$C30:$C230="Woman"),--('My order'!$D30:$D230="S"))</f>
        <v/>
      </c>
      <c r="N46" s="197">
        <f>SUMPRODUCT(--('My order'!$B30:$B230="Underwear"),--('My order'!$C30:$C230="Woman"),--('My order'!$D30:$D230="M"))</f>
        <v/>
      </c>
      <c r="O46" s="197">
        <f>SUMPRODUCT(--('My order'!$B30:$B230="Underwear"),--('My order'!$C30:$C230="Woman"),--('My order'!$D30:$D230="L"))</f>
        <v/>
      </c>
      <c r="P46" s="197">
        <f>SUMPRODUCT(--('My order'!$B30:$B230="Underwear"),--('My order'!$C30:$C230="Woman"),--('My order'!$D30:$D230="XL"))</f>
        <v/>
      </c>
      <c r="Q46" s="197">
        <f>SUMPRODUCT(--('My order'!$B30:$B230="Underwear"),--('My order'!$C30:$C230="Woman"),--('My order'!$D30:$D230="XXL"))</f>
        <v/>
      </c>
      <c r="R46" s="124" t="n"/>
      <c r="S46" s="200">
        <f>IF('My order'!H2="English","Trucker Cap","Casquette Trucker")</f>
        <v/>
      </c>
      <c r="T46" s="197">
        <f>SUMPRODUCT(--('My order'!$B30:$B230="Cap"),--('My order'!$C30:$C230="Trucker"))</f>
        <v/>
      </c>
      <c r="U46" s="132" t="n"/>
      <c r="V46" s="124" t="n"/>
      <c r="W46" s="200">
        <f>IF('My order'!H2="English","Grass flag foot - spike","Pied pour herbe")</f>
        <v/>
      </c>
      <c r="X46" s="197">
        <f>SUMPRODUCT(--('My order'!$B30:$B230="Foot"),--('My order'!$C30:$C230="Grass_Spike"))</f>
        <v/>
      </c>
      <c r="Y46" s="124" t="n"/>
    </row>
    <row r="47" ht="12.75" customHeight="1" s="118">
      <c r="A47" s="124" t="n"/>
      <c r="B47" s="150">
        <f>IF('My order'!H2="English","Quantity by size","Quantité par taille")</f>
        <v/>
      </c>
      <c r="C47" s="134">
        <f>SUM(C42:C46)</f>
        <v/>
      </c>
      <c r="D47" s="134">
        <f>SUM(D42:D46)</f>
        <v/>
      </c>
      <c r="E47" s="134">
        <f>SUM(E42:E46)</f>
        <v/>
      </c>
      <c r="F47" s="134">
        <f>SUM(F42:F46)</f>
        <v/>
      </c>
      <c r="G47" s="134">
        <f>SUM(G42:G46)</f>
        <v/>
      </c>
      <c r="H47" s="134">
        <f>SUM(H42:H46)</f>
        <v/>
      </c>
      <c r="I47" s="134">
        <f>SUM(I42:I46)</f>
        <v/>
      </c>
      <c r="J47" s="119" t="n"/>
      <c r="K47" s="150">
        <f>IF('My order'!H2="English","Quantity by size","Quantité par taille")</f>
        <v/>
      </c>
      <c r="L47" s="134">
        <f>SUM(L42:L46)</f>
        <v/>
      </c>
      <c r="M47" s="134">
        <f>SUM(M42:M46)</f>
        <v/>
      </c>
      <c r="N47" s="134">
        <f>SUM(N42:N46)</f>
        <v/>
      </c>
      <c r="O47" s="134">
        <f>SUM(O42:O46)</f>
        <v/>
      </c>
      <c r="P47" s="134">
        <f>SUM(P42:P46)</f>
        <v/>
      </c>
      <c r="Q47" s="134">
        <f>SUM(Q42:Q46)</f>
        <v/>
      </c>
      <c r="R47" s="124" t="n"/>
      <c r="S47" s="212">
        <f>IF('My order'!H2="English","Total Caps","Total Casquettes")</f>
        <v/>
      </c>
      <c r="T47" s="191">
        <f>SUM(T45:U46)</f>
        <v/>
      </c>
      <c r="U47" s="132" t="n"/>
      <c r="V47" s="124" t="n"/>
      <c r="W47" s="200">
        <f>IF('My order'!H2="English","Sand flag foot - screw","Pied pour sable - vis")</f>
        <v/>
      </c>
      <c r="X47" s="197">
        <f>SUMPRODUCT(--('My order'!$B30:$B230="Foot"),--('My order'!$C30:$C230="Sand_Screw"))</f>
        <v/>
      </c>
      <c r="Y47" s="124" t="n"/>
    </row>
    <row r="48" ht="12.75" customHeight="1" s="118">
      <c r="A48" s="124" t="n"/>
      <c r="B48" s="205">
        <f>IF('My order'!H2="English","Total Men","Total Homme")</f>
        <v/>
      </c>
      <c r="C48" s="191">
        <f>SUM(C47:I47)</f>
        <v/>
      </c>
      <c r="D48" s="131" t="n"/>
      <c r="E48" s="131" t="n"/>
      <c r="F48" s="131" t="n"/>
      <c r="G48" s="131" t="n"/>
      <c r="H48" s="131" t="n"/>
      <c r="I48" s="132" t="n"/>
      <c r="J48" s="192" t="n"/>
      <c r="K48" s="206">
        <f>IF('My order'!H2="English","Total Women","Total Femme")</f>
        <v/>
      </c>
      <c r="L48" s="191">
        <f>SUM(L47:Q47)</f>
        <v/>
      </c>
      <c r="M48" s="131" t="n"/>
      <c r="N48" s="131" t="n"/>
      <c r="O48" s="131" t="n"/>
      <c r="P48" s="131" t="n"/>
      <c r="Q48" s="132" t="n"/>
      <c r="R48" s="124" t="n"/>
      <c r="S48" s="200">
        <f>IF('My order'!H2="English","Gloves Men","Gants Homme")</f>
        <v/>
      </c>
      <c r="T48" s="197">
        <f>SUMPRODUCT(--('My order'!$B30:$B230="Gloves"),--('My order'!$C30:$C230="Man"))</f>
        <v/>
      </c>
      <c r="U48" s="132" t="n"/>
      <c r="V48" s="124" t="n"/>
      <c r="W48" s="200" t="inlineStr">
        <is>
          <t>Fanion</t>
        </is>
      </c>
      <c r="X48" s="197">
        <f>SUMPRODUCT(--('My order'!$B30:$B230="Fanion"),--('My order'!$C30:$C230="Sublimated"))</f>
        <v/>
      </c>
      <c r="Y48" s="213" t="n"/>
    </row>
    <row r="49" ht="12.75" customHeight="1" s="118">
      <c r="A49" s="124" t="n"/>
      <c r="B49" s="124" t="n"/>
      <c r="C49" s="124" t="n"/>
      <c r="D49" s="124" t="n"/>
      <c r="E49" s="124" t="n"/>
      <c r="F49" s="124" t="n"/>
      <c r="G49" s="124" t="n"/>
      <c r="H49" s="124" t="n"/>
      <c r="I49" s="124" t="n"/>
      <c r="J49" s="124" t="n"/>
      <c r="K49" s="124" t="n"/>
      <c r="L49" s="124" t="n"/>
      <c r="M49" s="124" t="n"/>
      <c r="N49" s="124" t="n"/>
      <c r="O49" s="124" t="n"/>
      <c r="P49" s="124" t="n"/>
      <c r="Q49" s="124" t="n"/>
      <c r="R49" s="124" t="n"/>
      <c r="S49" s="200">
        <f>IF('My order'!H2="English","Gloves Women","Gants Femme")</f>
        <v/>
      </c>
      <c r="T49" s="197">
        <f>SUMPRODUCT(--('My order'!$B30:$B230="Gloves"),--('My order'!$C30:$C230="Woman"))</f>
        <v/>
      </c>
      <c r="U49" s="132" t="n"/>
      <c r="W49" s="200">
        <f>IF('My order'!H2="English","Garland","Guirlande")</f>
        <v/>
      </c>
      <c r="X49" s="204">
        <f>SUMPRODUCT(--('My order'!$B30:$B230="Garland"),--('My order'!$C30:$C230="Sublimated"))</f>
        <v/>
      </c>
      <c r="Y49" s="124" t="n"/>
    </row>
    <row r="50" ht="12.75" customHeight="1" s="118">
      <c r="A50" s="124" t="n"/>
      <c r="B50" s="192" t="n"/>
      <c r="C50" s="192" t="n"/>
      <c r="D50" s="192" t="n"/>
      <c r="E50" s="192" t="n"/>
      <c r="F50" s="192" t="n"/>
      <c r="G50" s="192" t="n"/>
      <c r="H50" s="192" t="n"/>
      <c r="I50" s="124" t="n"/>
      <c r="J50" s="124" t="n"/>
      <c r="K50" s="124" t="n"/>
      <c r="L50" s="124" t="n"/>
      <c r="M50" s="124" t="n"/>
      <c r="N50" s="124" t="n"/>
      <c r="O50" s="124" t="n"/>
      <c r="P50" s="124" t="n"/>
      <c r="Q50" s="124" t="n"/>
      <c r="R50" s="124" t="n"/>
      <c r="S50" s="212">
        <f>IF('My order'!H2="English","Total Gloves","Total Gants")</f>
        <v/>
      </c>
      <c r="T50" s="191">
        <f>SUM(T48:U49)</f>
        <v/>
      </c>
      <c r="U50" s="132" t="n"/>
      <c r="V50" s="124" t="n"/>
      <c r="W50" s="212">
        <f>IF('My order'!H2="English","Total flags","Total drapeaux")</f>
        <v/>
      </c>
      <c r="X50" s="191">
        <f>SUM(X41:X49)</f>
        <v/>
      </c>
      <c r="Y50" s="124" t="n"/>
    </row>
    <row r="51" ht="12.75" customHeight="1" s="118">
      <c r="A51" s="124" t="n"/>
      <c r="B51" s="187" t="inlineStr">
        <is>
          <t>Shorts/Skirt</t>
        </is>
      </c>
      <c r="C51" s="131" t="n"/>
      <c r="D51" s="131" t="n"/>
      <c r="E51" s="131" t="n"/>
      <c r="F51" s="131" t="n"/>
      <c r="G51" s="131" t="n"/>
      <c r="H51" s="131" t="n"/>
      <c r="I51" s="131" t="n"/>
      <c r="J51" s="131" t="n"/>
      <c r="K51" s="132" t="n"/>
      <c r="L51" s="124" t="n"/>
      <c r="M51" s="124" t="n"/>
      <c r="N51" s="124" t="n"/>
      <c r="O51" s="124" t="n"/>
      <c r="P51" s="124" t="n"/>
      <c r="Q51" s="124" t="n"/>
      <c r="R51" s="124" t="n"/>
      <c r="S51" s="214" t="inlineStr">
        <is>
          <t>Handwarmer</t>
        </is>
      </c>
      <c r="T51" s="134">
        <f>SUMPRODUCT(--('My order'!$B30:$B230="Handwarmer"),--('My order'!$C30:$C230="Sublimated"))</f>
        <v/>
      </c>
      <c r="U51" s="132" t="n"/>
      <c r="V51" s="124" t="n"/>
      <c r="W51" s="124" t="n"/>
      <c r="X51" s="124" t="n"/>
      <c r="Y51" s="124" t="n"/>
    </row>
    <row r="52" ht="12.75" customHeight="1" s="118">
      <c r="A52" s="124" t="n"/>
      <c r="B52" s="209">
        <f>IF('My order'!H2="English","Product","Produit")</f>
        <v/>
      </c>
      <c r="C52" s="215">
        <f>IF('My order'!H2="English","Quantity","Quantité")</f>
        <v/>
      </c>
      <c r="D52" s="128" t="n"/>
      <c r="E52" s="128" t="n"/>
      <c r="F52" s="128" t="n"/>
      <c r="G52" s="128" t="n"/>
      <c r="H52" s="128" t="n"/>
      <c r="I52" s="128" t="n"/>
      <c r="J52" s="128" t="n"/>
      <c r="K52" s="167" t="n"/>
      <c r="L52" s="124" t="n"/>
      <c r="M52" s="124" t="n"/>
      <c r="N52" s="124" t="n"/>
      <c r="O52" s="124" t="n"/>
      <c r="P52" s="124" t="n"/>
      <c r="Q52" s="124" t="n"/>
      <c r="R52" s="124" t="n"/>
      <c r="S52" s="200">
        <f>IF('My order'!H2="English","Headband","Bandeau")</f>
        <v/>
      </c>
      <c r="T52" s="197">
        <f>SUMPRODUCT(--('My order'!$B30:$B230="Headband"),--('My order'!$C30:$C230="Sublimated"))</f>
        <v/>
      </c>
      <c r="U52" s="132" t="n"/>
      <c r="V52" s="124" t="n"/>
      <c r="W52" s="124" t="n"/>
      <c r="X52" s="124" t="n"/>
      <c r="Y52" s="124" t="n"/>
    </row>
    <row r="53" ht="12.75" customHeight="1" s="118">
      <c r="A53" s="124" t="n"/>
      <c r="B53" s="216" t="n"/>
      <c r="C53" s="210">
        <f>IF('My order'!H2="English","6 yo","6 ans")</f>
        <v/>
      </c>
      <c r="D53" s="210">
        <f>IF('My order'!H2="English","8 yo","8 ans")</f>
        <v/>
      </c>
      <c r="E53" s="210" t="inlineStr">
        <is>
          <t>XS</t>
        </is>
      </c>
      <c r="F53" s="210" t="inlineStr">
        <is>
          <t>S</t>
        </is>
      </c>
      <c r="G53" s="210" t="inlineStr">
        <is>
          <t>M</t>
        </is>
      </c>
      <c r="H53" s="210" t="inlineStr">
        <is>
          <t>L</t>
        </is>
      </c>
      <c r="I53" s="210" t="inlineStr">
        <is>
          <t>XL</t>
        </is>
      </c>
      <c r="J53" s="210" t="inlineStr">
        <is>
          <t>XXL</t>
        </is>
      </c>
      <c r="K53" s="210" t="inlineStr">
        <is>
          <t>XXXL</t>
        </is>
      </c>
      <c r="L53" s="124" t="n"/>
      <c r="M53" s="124" t="n"/>
      <c r="N53" s="124" t="n"/>
      <c r="O53" s="124" t="n"/>
      <c r="P53" s="124" t="n"/>
      <c r="Q53" s="124" t="n"/>
      <c r="R53" s="124" t="n"/>
      <c r="S53" s="200">
        <f>IF('My order'!H2="English","Wristband","Bracelet")</f>
        <v/>
      </c>
      <c r="T53" s="197">
        <f>SUMPRODUCT(--('My order'!$B30:$B230="Wristband"),--('My order'!$C30:$C230="Sublimated"))</f>
        <v/>
      </c>
      <c r="U53" s="132" t="n"/>
      <c r="V53" s="124" t="n"/>
      <c r="W53" s="124" t="n"/>
      <c r="X53" s="124" t="n"/>
      <c r="Y53" s="124" t="n"/>
    </row>
    <row r="54" ht="12.75" customHeight="1" s="118">
      <c r="A54" s="124" t="n"/>
      <c r="B54" s="200" t="inlineStr">
        <is>
          <t>Shorts Long</t>
        </is>
      </c>
      <c r="C54" s="197">
        <f>SUMPRODUCT(--('My order'!$B30:$B230="Short"),--('My order'!$C30:$C230="Long"),--('My order'!$D30:$D230=6))</f>
        <v/>
      </c>
      <c r="D54" s="197">
        <f>SUMPRODUCT(--('My order'!$B30:$B230="Short"),--('My order'!$C30:$C230="Long"),--('My order'!$D30:$D230=8))</f>
        <v/>
      </c>
      <c r="E54" s="197">
        <f>SUMPRODUCT(--('My order'!$B30:$B230="Short"),--('My order'!$C30:$C230="Long"),--('My order'!$D30:$D230="XS"))</f>
        <v/>
      </c>
      <c r="F54" s="197">
        <f>SUMPRODUCT(--('My order'!$B30:$B230="Short"),--('My order'!$C30:$C230="Long"),--('My order'!$D30:$D230="S"))</f>
        <v/>
      </c>
      <c r="G54" s="197">
        <f>SUMPRODUCT(--('My order'!$B30:$B230="Short"),--('My order'!$C30:$C230="Long"),--('My order'!$D30:$D230="M"))</f>
        <v/>
      </c>
      <c r="H54" s="197">
        <f>SUMPRODUCT(--('My order'!$B30:$B230="Short"),--('My order'!$C30:$C230="Long"),--('My order'!$D30:$D230="L"))</f>
        <v/>
      </c>
      <c r="I54" s="134">
        <f>SUMPRODUCT(--('My order'!$B30:$B230="Short"),--('My order'!$C30:$C230="Long"),--('My order'!$D30:$D230="XL"))</f>
        <v/>
      </c>
      <c r="J54" s="134">
        <f>SUMPRODUCT(--('My order'!$B30:$B230="Short"),--('My order'!$C30:$C230="Long"),--('My order'!$D30:$D230="XXL"))</f>
        <v/>
      </c>
      <c r="K54" s="217">
        <f>SUMPRODUCT(--('My order'!$B30:$B230="Short"),--('My order'!$C30:$C230="Long"),--('My order'!$D30:$D230="XXXL"))</f>
        <v/>
      </c>
      <c r="L54" s="124" t="n"/>
      <c r="M54" s="124" t="n"/>
      <c r="N54" s="124" t="n"/>
      <c r="O54" s="124" t="n"/>
      <c r="P54" s="124" t="n"/>
      <c r="Q54" s="124" t="n"/>
      <c r="R54" s="124" t="n"/>
      <c r="S54" s="200">
        <f>IF('My order'!H2="English","Snood","Cache-cou")</f>
        <v/>
      </c>
      <c r="T54" s="197">
        <f>SUMPRODUCT(--('My order'!$B30:$B230="Snood"),--('My order'!$C30:$C230="Sublimated"))</f>
        <v/>
      </c>
      <c r="U54" s="132" t="n"/>
      <c r="V54" s="124" t="n"/>
      <c r="W54" s="124" t="n"/>
      <c r="X54" s="124" t="n"/>
      <c r="Y54" s="124" t="n"/>
    </row>
    <row r="55" ht="12.75" customHeight="1" s="118">
      <c r="A55" s="124" t="n"/>
      <c r="B55" s="200" t="inlineStr">
        <is>
          <t>Shorts Multisport</t>
        </is>
      </c>
      <c r="C55" s="204">
        <f>SUMPRODUCT(--('My order'!$B30:$B230="Short"),--('My order'!$C30:$C230="Multisport"),--('My order'!$D30:$D230=6))</f>
        <v/>
      </c>
      <c r="D55" s="204">
        <f>SUMPRODUCT(--('My order'!$B30:$B230="Short"),--('My order'!$C30:$C230="Multisport"),--('My order'!$D30:$D230=8))</f>
        <v/>
      </c>
      <c r="E55" s="204">
        <f>SUMPRODUCT(--('My order'!$B30:$B230="Short"),--('My order'!$C30:$C230="Multisport"),--('My order'!$D30:$D230="XS"))</f>
        <v/>
      </c>
      <c r="F55" s="204">
        <f>SUMPRODUCT(--('My order'!$B30:$B230="Short"),--('My order'!$C30:$C230="Multisport"),--('My order'!$D30:$D230="S"))</f>
        <v/>
      </c>
      <c r="G55" s="204">
        <f>SUMPRODUCT(--('My order'!$B30:$B230="Short"),--('My order'!$C30:$C230="Multisport"),--('My order'!$D30:$D230="M"))</f>
        <v/>
      </c>
      <c r="H55" s="204">
        <f>SUMPRODUCT(--('My order'!$B30:$B230="Short"),--('My order'!$C30:$C230="Multisport"),--('My order'!$D30:$D230="L"))</f>
        <v/>
      </c>
      <c r="I55" s="153">
        <f>SUMPRODUCT(--('My order'!$B30:$B230="Short"),--('My order'!$C30:$C230="Multisport"),--('My order'!$D30:$D230="XL"))</f>
        <v/>
      </c>
      <c r="J55" s="153">
        <f>SUMPRODUCT(--('My order'!$B30:$B230="Short"),--('My order'!$C30:$C230="Multisport"),--('My order'!$D30:$D230="XXL"))</f>
        <v/>
      </c>
      <c r="K55" s="218">
        <f>SUMPRODUCT(--('My order'!$B30:$B230="Short"),--('My order'!$C30:$C230="Multisport"),--('My order'!$D30:$D230="XXXL"))</f>
        <v/>
      </c>
      <c r="L55" s="124" t="n"/>
      <c r="M55" s="124" t="n"/>
      <c r="N55" s="124" t="n"/>
      <c r="O55" s="124" t="n"/>
      <c r="P55" s="124" t="n"/>
      <c r="Q55" s="124" t="n"/>
      <c r="R55" s="124" t="n"/>
      <c r="S55" s="200" t="inlineStr">
        <is>
          <t>Thermal Warmer</t>
        </is>
      </c>
      <c r="T55" s="197">
        <f>SUMPRODUCT(--('My order'!$B30:$B230="Thermal_Warmer"),--('My order'!$C30:$C230="Sublimated"))</f>
        <v/>
      </c>
      <c r="U55" s="132" t="n"/>
      <c r="V55" s="124" t="n"/>
      <c r="W55" s="124" t="n"/>
      <c r="X55" s="124" t="n"/>
      <c r="Y55" s="124" t="n"/>
    </row>
    <row r="56" ht="12.75" customHeight="1" s="118">
      <c r="A56" s="124" t="n"/>
      <c r="B56" s="200" t="inlineStr">
        <is>
          <t>Shorts Woman</t>
        </is>
      </c>
      <c r="C56" s="199" t="n"/>
      <c r="D56" s="131" t="n"/>
      <c r="E56" s="132" t="n"/>
      <c r="F56" s="204">
        <f>SUMPRODUCT(--('My order'!$B30:$B230="Short"),--('My order'!$C30:$C230="Woman"),--('My order'!$D30:$D230="S"))</f>
        <v/>
      </c>
      <c r="G56" s="204">
        <f>SUMPRODUCT(--('My order'!$B30:$B230="Short"),--('My order'!$C30:$C230="Woman"),--('My order'!$D30:$D230="M"))</f>
        <v/>
      </c>
      <c r="H56" s="204">
        <f>SUMPRODUCT(--('My order'!$B30:$B230="Short"),--('My order'!$C30:$C230="Woman"),--('My order'!$D30:$D230="L"))</f>
        <v/>
      </c>
      <c r="I56" s="153">
        <f>SUMPRODUCT(--('My order'!$B30:$B230="Short"),--('My order'!$C30:$C230="Woman"),--('My order'!$D30:$D230="XL"))</f>
        <v/>
      </c>
      <c r="J56" s="153">
        <f>SUMPRODUCT(--('My order'!$B30:$B230="Short"),--('My order'!$C30:$C230="Woman"),--('My order'!$D30:$D230="XXL"))</f>
        <v/>
      </c>
      <c r="K56" s="219" t="n"/>
      <c r="L56" s="124" t="n"/>
      <c r="M56" s="124" t="n"/>
      <c r="N56" s="124" t="n"/>
      <c r="O56" s="124" t="n"/>
      <c r="P56" s="124" t="n"/>
      <c r="Q56" s="124" t="n"/>
      <c r="R56" s="124" t="n"/>
      <c r="S56" s="200" t="inlineStr">
        <is>
          <t>Towel</t>
        </is>
      </c>
      <c r="T56" s="197">
        <f>SUMPRODUCT(--('My order'!$B30:$B230="Towel"),--('My order'!$C30:$C230="Sublimated"))</f>
        <v/>
      </c>
      <c r="U56" s="132" t="n"/>
      <c r="V56" s="124" t="n"/>
      <c r="W56" s="124" t="n"/>
      <c r="X56" s="124" t="n"/>
      <c r="Y56" s="124" t="n"/>
    </row>
    <row r="57" ht="12.75" customHeight="1" s="118">
      <c r="A57" s="124" t="n"/>
      <c r="B57" s="214" t="inlineStr">
        <is>
          <t>Shorts  Beach Woman</t>
        </is>
      </c>
      <c r="C57" s="220" t="n"/>
      <c r="D57" s="221" t="n"/>
      <c r="E57" s="222" t="n"/>
      <c r="F57" s="204">
        <f>SUMPRODUCT(--('My order'!$B30:$B230="Short"),--('My order'!$C30:$C230="Beach_Woman"),--('My order'!$D30:$D230="S"))</f>
        <v/>
      </c>
      <c r="G57" s="204">
        <f>SUMPRODUCT(--('My order'!$B30:$B230="Short"),--('My order'!$C30:$C230="Beach_Woman"),--('My order'!$D30:$D230="M"))</f>
        <v/>
      </c>
      <c r="H57" s="204">
        <f>SUMPRODUCT(--('My order'!$B30:$B230="Short"),--('My order'!$C30:$C230="Beach_Woman"),--('My order'!$D30:$D230="L"))</f>
        <v/>
      </c>
      <c r="I57" s="153">
        <f>SUMPRODUCT(--('My order'!$B30:$B230="Short"),--('My order'!$C30:$C230="Beach_Woman"),--('My order'!$D30:$D230="XL"))</f>
        <v/>
      </c>
      <c r="J57" s="153">
        <f>SUMPRODUCT(--('My order'!$B30:$B230="Short"),--('My order'!$C30:$C230="Beach_Woman"),--('My order'!$D30:$D230="XXL"))</f>
        <v/>
      </c>
      <c r="K57" s="219" t="n"/>
      <c r="L57" s="124" t="n"/>
      <c r="M57" s="124" t="n"/>
      <c r="N57" s="124" t="n"/>
      <c r="O57" s="124" t="n"/>
      <c r="P57" s="124" t="n"/>
      <c r="Q57" s="124" t="n"/>
      <c r="R57" s="124" t="n"/>
      <c r="S57" s="200" t="inlineStr">
        <is>
          <t>Kuxin</t>
        </is>
      </c>
      <c r="T57" s="197">
        <f>SUMPRODUCT(--('My order'!$B30:$B230="Kuxin"),--('My order'!$C30:$C230="Sublimated"))</f>
        <v/>
      </c>
      <c r="U57" s="132" t="n"/>
      <c r="V57" s="124" t="n"/>
      <c r="W57" s="124" t="n"/>
      <c r="X57" s="124" t="n"/>
      <c r="Y57" s="124" t="n"/>
    </row>
    <row r="58" ht="12.75" customHeight="1" s="118">
      <c r="A58" s="124" t="n"/>
      <c r="B58" s="214" t="inlineStr">
        <is>
          <t>Shorts Tight Woman</t>
        </is>
      </c>
      <c r="C58" s="220" t="n"/>
      <c r="D58" s="221" t="n"/>
      <c r="E58" s="222" t="n"/>
      <c r="F58" s="204">
        <f>SUMPRODUCT(--('My order'!$B30:$B230="Short"),--('My order'!$C30:$C230="Tight_Woman"),--('My order'!$D30:$D230="S"))</f>
        <v/>
      </c>
      <c r="G58" s="204">
        <f>SUMPRODUCT(--('My order'!$B30:$B230="Short"),--('My order'!$C30:$C230="Tight_Woman"),--('My order'!$D30:$D230="M"))</f>
        <v/>
      </c>
      <c r="H58" s="204">
        <f>SUMPRODUCT(--('My order'!$B30:$B230="Short"),--('My order'!$C30:$C230="Tight_Woman"),--('My order'!$D30:$D230="L"))</f>
        <v/>
      </c>
      <c r="I58" s="153">
        <f>SUMPRODUCT(--('My order'!$B30:$B230="Short"),--('My order'!$C30:$C230="Tight_Woman"),--('My order'!$D30:$D230="XL"))</f>
        <v/>
      </c>
      <c r="J58" s="153">
        <f>SUMPRODUCT(--('My order'!$B30:$B230="Short"),--('My order'!$C30:$C230="Tight_Woman"),--('My order'!$D30:$D230="XXL"))</f>
        <v/>
      </c>
      <c r="K58" s="219" t="n"/>
      <c r="L58" s="124" t="n"/>
      <c r="M58" s="124" t="n"/>
      <c r="N58" s="124" t="n"/>
      <c r="O58" s="124" t="n"/>
      <c r="P58" s="124" t="n"/>
      <c r="Q58" s="124" t="n"/>
      <c r="R58" s="124" t="n"/>
      <c r="S58" s="200">
        <f>IF('My order'!H2="English","Drawstring bag","Sac à cordons")</f>
        <v/>
      </c>
      <c r="T58" s="197">
        <f>SUMPRODUCT(--('My order'!$B30:$B230="Drawstring_Bag"),--('My order'!$C30:$C230="Sublimated"))</f>
        <v/>
      </c>
      <c r="U58" s="132" t="n"/>
      <c r="V58" s="124" t="n"/>
      <c r="W58" s="124" t="n"/>
      <c r="X58" s="124" t="n"/>
      <c r="Y58" s="124" t="n"/>
    </row>
    <row r="59" ht="12.75" customHeight="1" s="118">
      <c r="A59" s="124" t="n"/>
      <c r="B59" s="214" t="inlineStr">
        <is>
          <t>Skirt</t>
        </is>
      </c>
      <c r="C59" s="220" t="n"/>
      <c r="D59" s="221" t="n"/>
      <c r="E59" s="222" t="n"/>
      <c r="F59" s="204">
        <f>SUMPRODUCT(--('My order'!$B30:$B230="Skirt"),--('My order'!$C30:$C230="Woman"),--('My order'!$D30:$D230="S"))</f>
        <v/>
      </c>
      <c r="G59" s="204">
        <f>SUMPRODUCT(--('My order'!$B30:$B230="Skirt"),--('My order'!$C30:$C230="Woman"),--('My order'!$D30:$D230="M"))</f>
        <v/>
      </c>
      <c r="H59" s="204">
        <f>SUMPRODUCT(--('My order'!$B30:$B230="Skirt"),--('My order'!$C30:$C230="Woman"),--('My order'!$D30:$D230="L"))</f>
        <v/>
      </c>
      <c r="I59" s="153">
        <f>SUMPRODUCT(--('My order'!$B30:$B230="Skirt"),--('My order'!$C30:$C230="Woman"),--('My order'!$D30:$D230="XL"))</f>
        <v/>
      </c>
      <c r="J59" s="153">
        <f>SUMPRODUCT(--('My order'!$B30:$B230="Skirt"),--('My order'!$C30:$C230="Woman"),--('My order'!$D30:$D230="XXL"))</f>
        <v/>
      </c>
      <c r="K59" s="219" t="n"/>
      <c r="L59" s="124" t="n"/>
      <c r="M59" s="124" t="n"/>
      <c r="N59" s="124" t="n"/>
      <c r="O59" s="124" t="n"/>
      <c r="P59" s="124" t="n"/>
      <c r="Q59" s="124" t="n"/>
      <c r="R59" s="124" t="n"/>
      <c r="S59" s="212">
        <f>IF('My order'!H2="English","Total items","Total objets")</f>
        <v/>
      </c>
      <c r="T59" s="191">
        <f>SUM(T51:T58)</f>
        <v/>
      </c>
      <c r="U59" s="132" t="n"/>
      <c r="V59" s="124" t="n"/>
      <c r="W59" s="124" t="n"/>
      <c r="X59" s="124" t="n"/>
      <c r="Y59" s="124" t="n"/>
    </row>
    <row r="60" ht="12.75" customHeight="1" s="118">
      <c r="A60" s="124" t="n"/>
      <c r="B60" s="212" t="inlineStr">
        <is>
          <t>Total Shorts</t>
        </is>
      </c>
      <c r="C60" s="191">
        <f>SUM(C54:K59)</f>
        <v/>
      </c>
      <c r="D60" s="131" t="n"/>
      <c r="E60" s="131" t="n"/>
      <c r="F60" s="131" t="n"/>
      <c r="G60" s="131" t="n"/>
      <c r="H60" s="131" t="n"/>
      <c r="I60" s="131" t="n"/>
      <c r="J60" s="131" t="n"/>
      <c r="K60" s="132" t="n"/>
      <c r="L60" s="124" t="n"/>
      <c r="M60" s="124" t="n"/>
      <c r="N60" s="124" t="n"/>
      <c r="O60" s="124" t="n"/>
      <c r="P60" s="124" t="n"/>
      <c r="Q60" s="124" t="n"/>
      <c r="R60" s="124" t="n"/>
      <c r="S60" s="223">
        <f>IF('My order'!H2="English","Total Accessories","Total Accessoires")</f>
        <v/>
      </c>
      <c r="T60" s="224">
        <f>SUM(T44+T47+T50+T59)</f>
        <v/>
      </c>
      <c r="U60" s="132" t="n"/>
      <c r="V60" s="124" t="n"/>
      <c r="W60" s="124" t="n"/>
      <c r="X60" s="124" t="n"/>
      <c r="Y60" s="124" t="n"/>
    </row>
    <row r="61" ht="12.75" customHeight="1" s="118">
      <c r="B61" s="225" t="n"/>
      <c r="C61" s="192" t="n"/>
      <c r="D61" s="192" t="n"/>
      <c r="E61" s="192" t="n"/>
      <c r="F61" s="192" t="n"/>
      <c r="G61" s="192" t="n"/>
      <c r="H61" s="192" t="n"/>
      <c r="I61" s="192" t="n"/>
      <c r="J61" s="192" t="n"/>
      <c r="K61" s="124" t="n"/>
      <c r="L61" s="124" t="n"/>
      <c r="M61" s="124" t="n"/>
      <c r="N61" s="124" t="n"/>
      <c r="O61" s="124" t="n"/>
      <c r="P61" s="124" t="n"/>
      <c r="Q61" s="124" t="n"/>
      <c r="R61" s="124" t="n"/>
      <c r="S61" s="226" t="n"/>
      <c r="T61" s="145" t="n"/>
      <c r="U61" s="145" t="n"/>
      <c r="V61" s="124" t="n"/>
      <c r="W61" s="124" t="n"/>
      <c r="X61" s="124" t="n"/>
    </row>
    <row r="62" ht="12.75" customHeight="1" s="118">
      <c r="B62" s="124" t="n"/>
      <c r="C62" s="124" t="n"/>
      <c r="D62" s="124" t="n"/>
      <c r="E62" s="192" t="n"/>
      <c r="F62" s="192" t="n"/>
      <c r="G62" s="124" t="n"/>
      <c r="H62" s="124" t="n"/>
      <c r="I62" s="124" t="n"/>
      <c r="J62" s="124" t="n"/>
      <c r="K62" s="124" t="n"/>
      <c r="W62" s="124" t="n"/>
      <c r="X62" s="124" t="n"/>
    </row>
    <row r="63" ht="12.75" customHeight="1" s="118">
      <c r="B63" s="124" t="n"/>
      <c r="C63" s="124" t="n"/>
      <c r="D63" s="124" t="n"/>
      <c r="E63" s="192" t="n"/>
      <c r="F63" s="192" t="n"/>
      <c r="G63" s="124" t="n"/>
      <c r="H63" s="124" t="n"/>
      <c r="I63" s="124" t="n"/>
      <c r="J63" s="124" t="n"/>
      <c r="K63" s="124" t="n"/>
      <c r="S63" s="124" t="n"/>
      <c r="T63" s="124" t="n"/>
      <c r="U63" s="124" t="n"/>
    </row>
    <row r="64" ht="12.75" customHeight="1" s="118">
      <c r="E64" s="117" t="n"/>
      <c r="F64" s="117" t="n"/>
      <c r="G64" s="117" t="n"/>
      <c r="H64" s="117" t="n"/>
      <c r="I64" s="117" t="n"/>
      <c r="J64" s="117" t="n"/>
      <c r="S64" s="124" t="n"/>
      <c r="T64" s="124" t="n"/>
      <c r="U64" s="124" t="n"/>
    </row>
    <row r="65" ht="12.75" customHeight="1" s="118">
      <c r="E65" s="158" t="n"/>
      <c r="F65" s="158" t="n"/>
      <c r="G65" s="158" t="n"/>
      <c r="H65" s="158" t="n"/>
      <c r="I65" s="158" t="n"/>
      <c r="J65" s="158" t="n"/>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sqref="B36 K36" showErrorMessage="1" showDropDown="0" showInputMessage="0" allowBlank="1" errorStyle="stop" operator="between">
      <formula1>0</formula1>
      <formula2>0</formula2>
    </dataValidation>
    <dataValidation sqref="A43" showErrorMessage="1" showDropDown="0" showInputMessage="1" allowBlank="1" prompt="Sélectionnez le type de produit" type="list" errorStyle="stop" operator="between">
      <formula1>$B$280:$B$286</formula1>
      <formula2>0</formula2>
    </dataValidation>
    <dataValidation sqref="B47 K47" showErrorMessage="1" showDropDown="0" showInputMessage="0" allowBlank="1" type="list" errorStyle="stop" operator="between">
      <formula1>INDIRECT($B47)</formula1>
      <formula2>0</formula2>
    </dataValidation>
    <dataValidation sqref="S36" showErrorMessage="1" showDropDown="0" showInputMessage="0" allowBlank="1" type="list" errorStyle="stop" operator="between">
      <formula1>INDIRECT($B47)</formula1>
      <formula2>0</formula2>
    </dataValidation>
  </dataValidations>
  <printOptions horizontalCentered="0" verticalCentered="0" headings="0" gridLines="0" gridLinesSet="1"/>
  <pageMargins left="0.747916666666667" right="0.747916666666667" top="0.9840277777777779" bottom="0.9840277777777779"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showFormulas="0" showGridLines="1" showRowColHeaders="1" showZeros="1" rightToLeft="0" tabSelected="0" showOutlineSymbols="1" defaultGridColor="1" view="normal" topLeftCell="A1" colorId="64" zoomScale="84" zoomScaleNormal="84" zoomScalePageLayoutView="100" workbookViewId="0">
      <selection pane="topLeft" activeCell="E20" activeCellId="1" sqref="G16:H18 E20"/>
    </sheetView>
  </sheetViews>
  <sheetFormatPr baseColWidth="8" defaultColWidth="11.0546875" defaultRowHeight="12.75" zeroHeight="0" outlineLevelRow="0"/>
  <cols>
    <col width="34.93" customWidth="1" style="117" min="1" max="1"/>
    <col width="13.39" customWidth="1" style="117" min="2" max="2"/>
    <col width="16.11" customWidth="1" style="117" min="3" max="3"/>
    <col width="15.68" customWidth="1" style="117" min="4" max="4"/>
    <col width="12.26" customWidth="1" style="117" min="5" max="5"/>
  </cols>
  <sheetData>
    <row r="1" ht="12.75" customHeight="1" s="118">
      <c r="A1" s="117" t="inlineStr">
        <is>
          <t>Products</t>
        </is>
      </c>
      <c r="B1" s="117" t="inlineStr">
        <is>
          <t>Gender Shirt</t>
        </is>
      </c>
      <c r="C1" s="117" t="inlineStr">
        <is>
          <t>Gender Short</t>
        </is>
      </c>
      <c r="D1" s="117" t="inlineStr">
        <is>
          <t>Gender No Kids</t>
        </is>
      </c>
      <c r="E1" s="117" t="inlineStr">
        <is>
          <t>Gender Legs</t>
        </is>
      </c>
    </row>
    <row r="2" ht="16.5" customHeight="1" s="118">
      <c r="B2" s="158" t="inlineStr">
        <is>
          <t>Man</t>
        </is>
      </c>
      <c r="C2" s="158" t="inlineStr">
        <is>
          <t>Long</t>
        </is>
      </c>
      <c r="D2" s="158" t="inlineStr">
        <is>
          <t>Man</t>
        </is>
      </c>
      <c r="E2" s="158" t="inlineStr">
        <is>
          <t>Man</t>
        </is>
      </c>
      <c r="F2" s="158" t="inlineStr">
        <is>
          <t>Unisex</t>
        </is>
      </c>
      <c r="L2" s="117" t="inlineStr">
        <is>
          <t>Afghanistan</t>
        </is>
      </c>
      <c r="N2" s="121" t="inlineStr">
        <is>
          <t>abcdefghijklmnopqrstuvwxyz</t>
        </is>
      </c>
    </row>
    <row r="3" ht="12.75" customHeight="1" s="118">
      <c r="A3" s="158" t="inlineStr">
        <is>
          <t>----- Top -----</t>
        </is>
      </c>
      <c r="B3" s="158" t="inlineStr">
        <is>
          <t>Woman</t>
        </is>
      </c>
      <c r="C3" s="158" t="inlineStr">
        <is>
          <t>Multisport</t>
        </is>
      </c>
      <c r="D3" s="158" t="inlineStr">
        <is>
          <t>Woman</t>
        </is>
      </c>
      <c r="E3" s="158" t="inlineStr">
        <is>
          <t>Woman</t>
        </is>
      </c>
      <c r="L3" s="117" t="inlineStr">
        <is>
          <t>Albania</t>
        </is>
      </c>
    </row>
    <row r="4" ht="12.75" customHeight="1" s="118">
      <c r="A4" s="158" t="inlineStr">
        <is>
          <t>Airez</t>
        </is>
      </c>
      <c r="B4" s="158" t="inlineStr">
        <is>
          <t>Kid</t>
        </is>
      </c>
      <c r="C4" s="158" t="inlineStr">
        <is>
          <t>Woman</t>
        </is>
      </c>
      <c r="L4" s="117" t="inlineStr">
        <is>
          <t>Algeria</t>
        </is>
      </c>
    </row>
    <row r="5" ht="12.75" customHeight="1" s="118">
      <c r="A5" s="158" t="inlineStr">
        <is>
          <t>Argia</t>
        </is>
      </c>
      <c r="B5" s="158" t="n"/>
      <c r="C5" s="158" t="inlineStr">
        <is>
          <t>Beach_Woman</t>
        </is>
      </c>
      <c r="L5" s="117" t="inlineStr">
        <is>
          <t>American Samoa</t>
        </is>
      </c>
    </row>
    <row r="6" ht="12.75" customHeight="1" s="118">
      <c r="A6" s="158" t="inlineStr">
        <is>
          <t>Azkar</t>
        </is>
      </c>
      <c r="B6" s="158" t="n"/>
      <c r="C6" s="158" t="inlineStr">
        <is>
          <t>Tight_Woman</t>
        </is>
      </c>
      <c r="L6" s="117" t="inlineStr">
        <is>
          <t>Andorra</t>
        </is>
      </c>
    </row>
    <row r="7" ht="12.75" customHeight="1" s="118">
      <c r="A7" s="158" t="inlineStr">
        <is>
          <t>Azkar_LongSleeves</t>
        </is>
      </c>
      <c r="B7" s="158" t="n"/>
      <c r="L7" s="117" t="inlineStr">
        <is>
          <t>Angola</t>
        </is>
      </c>
    </row>
    <row r="8" ht="12.75" customHeight="1" s="118">
      <c r="A8" s="158" t="inlineStr">
        <is>
          <t>Casual_Tee</t>
        </is>
      </c>
      <c r="B8" s="158" t="n"/>
      <c r="C8" s="158" t="n"/>
      <c r="L8" s="117" t="inlineStr">
        <is>
          <t>Anguilla</t>
        </is>
      </c>
    </row>
    <row r="9" ht="12.75" customHeight="1" s="118">
      <c r="A9" s="158" t="inlineStr">
        <is>
          <t>Casual_Tee_Pocket</t>
        </is>
      </c>
      <c r="B9" s="158" t="n"/>
      <c r="C9" s="158" t="n"/>
      <c r="L9" s="117" t="inlineStr">
        <is>
          <t>Antarctica</t>
        </is>
      </c>
    </row>
    <row r="10" ht="12.75" customHeight="1" s="118">
      <c r="A10" s="158" t="inlineStr">
        <is>
          <t>Compression_Top</t>
        </is>
      </c>
      <c r="B10" s="158" t="n"/>
      <c r="C10" s="158" t="n"/>
      <c r="D10" s="158" t="n"/>
      <c r="L10" s="117" t="inlineStr">
        <is>
          <t>Antigua and Barbuda</t>
        </is>
      </c>
    </row>
    <row r="11" ht="12.75" customHeight="1" s="118">
      <c r="A11" s="158" t="inlineStr">
        <is>
          <t>Compression_Top_LongSleeves</t>
        </is>
      </c>
      <c r="B11" s="158" t="n"/>
      <c r="C11" s="158" t="n"/>
      <c r="D11" s="158" t="n"/>
      <c r="L11" s="117" t="inlineStr">
        <is>
          <t>Argentina</t>
        </is>
      </c>
    </row>
    <row r="12" ht="12.75" customHeight="1" s="118">
      <c r="A12" s="158" t="inlineStr">
        <is>
          <t>Dotoreak</t>
        </is>
      </c>
      <c r="B12" s="117" t="inlineStr">
        <is>
          <t>Type Cap</t>
        </is>
      </c>
      <c r="C12" s="117" t="inlineStr">
        <is>
          <t>Type Accessories</t>
        </is>
      </c>
      <c r="D12" s="117" t="inlineStr">
        <is>
          <t>Type Flag</t>
        </is>
      </c>
      <c r="L12" s="117" t="inlineStr">
        <is>
          <t>Armenia</t>
        </is>
      </c>
    </row>
    <row r="13" ht="12.75" customHeight="1" s="118">
      <c r="A13" s="158" t="inlineStr">
        <is>
          <t>Dotoreak_LongSleeves</t>
        </is>
      </c>
      <c r="B13" s="158" t="inlineStr">
        <is>
          <t>Flexfit</t>
        </is>
      </c>
      <c r="C13" s="158" t="inlineStr">
        <is>
          <t>Sublimated</t>
        </is>
      </c>
      <c r="D13" s="158" t="inlineStr">
        <is>
          <t>Sublimated</t>
        </is>
      </c>
      <c r="L13" s="117" t="inlineStr">
        <is>
          <t>Aruba</t>
        </is>
      </c>
    </row>
    <row r="14" ht="12.75" customHeight="1" s="118">
      <c r="A14" s="158" t="inlineStr">
        <is>
          <t>Erritmo</t>
        </is>
      </c>
      <c r="B14" s="158" t="inlineStr">
        <is>
          <t>Trucker</t>
        </is>
      </c>
      <c r="C14" s="158" t="n"/>
      <c r="D14" s="158" t="n"/>
      <c r="E14" s="117" t="n"/>
      <c r="L14" s="117" t="inlineStr">
        <is>
          <t>Australia</t>
        </is>
      </c>
    </row>
    <row r="15" ht="12.75" customHeight="1" s="118">
      <c r="A15" s="158" t="inlineStr">
        <is>
          <t>Iribazi</t>
        </is>
      </c>
      <c r="B15" s="158" t="n"/>
      <c r="C15" s="158" t="n"/>
      <c r="D15" s="158" t="n"/>
      <c r="L15" s="117" t="inlineStr">
        <is>
          <t>Austria</t>
        </is>
      </c>
    </row>
    <row r="16" ht="12.75" customHeight="1" s="118">
      <c r="A16" s="158" t="inlineStr">
        <is>
          <t>Iribazi_LongSleeves</t>
        </is>
      </c>
      <c r="B16" s="158" t="n"/>
      <c r="C16" s="158" t="n"/>
      <c r="D16" s="158" t="n"/>
      <c r="L16" s="117" t="inlineStr">
        <is>
          <t>Azerbaijan</t>
        </is>
      </c>
    </row>
    <row r="17" ht="12.75" customHeight="1" s="118">
      <c r="A17" s="158" t="inlineStr">
        <is>
          <t>Jaketa</t>
        </is>
      </c>
      <c r="B17" s="158" t="n"/>
      <c r="C17" s="158" t="n"/>
      <c r="D17" s="158" t="n"/>
      <c r="F17" s="117" t="n"/>
      <c r="L17" s="117" t="inlineStr">
        <is>
          <t>Bahamas</t>
        </is>
      </c>
    </row>
    <row r="18" ht="12.75" customHeight="1" s="118">
      <c r="A18" s="158" t="inlineStr">
        <is>
          <t>Jauzi</t>
        </is>
      </c>
      <c r="B18" s="117" t="inlineStr">
        <is>
          <t>Sizes</t>
        </is>
      </c>
      <c r="C18" s="117" t="inlineStr">
        <is>
          <t>Sizes Short</t>
        </is>
      </c>
      <c r="D18" s="117" t="inlineStr">
        <is>
          <t>Sizes Sleeves/Caps</t>
        </is>
      </c>
      <c r="E18" s="117" t="inlineStr">
        <is>
          <t>Size Unique</t>
        </is>
      </c>
      <c r="L18" s="117" t="inlineStr">
        <is>
          <t>Bahrain</t>
        </is>
      </c>
    </row>
    <row r="19" ht="12.75" customHeight="1" s="118">
      <c r="A19" s="158" t="inlineStr">
        <is>
          <t>Kanpaia</t>
        </is>
      </c>
      <c r="B19" s="158" t="n">
        <v>6</v>
      </c>
      <c r="C19" s="158" t="n">
        <v>6</v>
      </c>
      <c r="D19" s="158" t="inlineStr">
        <is>
          <t>S-M</t>
        </is>
      </c>
      <c r="E19" s="158" t="inlineStr">
        <is>
          <t>onesize</t>
        </is>
      </c>
      <c r="L19" s="117" t="inlineStr">
        <is>
          <t>Bangladesh</t>
        </is>
      </c>
    </row>
    <row r="20" ht="12.75" customHeight="1" s="118">
      <c r="A20" s="158" t="inlineStr">
        <is>
          <t>Korrika</t>
        </is>
      </c>
      <c r="B20" s="158" t="n">
        <v>8</v>
      </c>
      <c r="C20" s="158" t="n">
        <v>8</v>
      </c>
      <c r="D20" s="158" t="inlineStr">
        <is>
          <t>L-XL</t>
        </is>
      </c>
      <c r="E20" s="158" t="n"/>
      <c r="L20" s="117" t="inlineStr">
        <is>
          <t>Barbados</t>
        </is>
      </c>
    </row>
    <row r="21" ht="12.75" customHeight="1" s="118">
      <c r="A21" s="158" t="inlineStr">
        <is>
          <t>Ohiko</t>
        </is>
      </c>
      <c r="B21" s="158" t="n">
        <v>10</v>
      </c>
      <c r="C21" s="158" t="inlineStr">
        <is>
          <t>XS</t>
        </is>
      </c>
      <c r="E21" s="158" t="n"/>
      <c r="L21" s="117" t="inlineStr">
        <is>
          <t>Belarus</t>
        </is>
      </c>
    </row>
    <row r="22" ht="12.75" customHeight="1" s="118">
      <c r="A22" s="158" t="inlineStr">
        <is>
          <t>Ohiko_LongSleeves</t>
        </is>
      </c>
      <c r="B22" s="158" t="inlineStr">
        <is>
          <t>XS</t>
        </is>
      </c>
      <c r="C22" s="158" t="inlineStr">
        <is>
          <t>S</t>
        </is>
      </c>
      <c r="L22" s="117" t="inlineStr">
        <is>
          <t>Belgium</t>
        </is>
      </c>
    </row>
    <row r="23" ht="12.75" customHeight="1" s="118">
      <c r="A23" s="158" t="inlineStr">
        <is>
          <t>Reversible</t>
        </is>
      </c>
      <c r="B23" s="158" t="inlineStr">
        <is>
          <t>S</t>
        </is>
      </c>
      <c r="C23" s="158" t="inlineStr">
        <is>
          <t>M</t>
        </is>
      </c>
      <c r="L23" s="117" t="inlineStr">
        <is>
          <t>Belize</t>
        </is>
      </c>
    </row>
    <row r="24" ht="12.75" customHeight="1" s="118">
      <c r="A24" s="158" t="inlineStr">
        <is>
          <t>Surf_Top</t>
        </is>
      </c>
      <c r="B24" s="158" t="inlineStr">
        <is>
          <t>M</t>
        </is>
      </c>
      <c r="C24" s="158" t="inlineStr">
        <is>
          <t>L</t>
        </is>
      </c>
      <c r="L24" s="117" t="inlineStr">
        <is>
          <t>Benin</t>
        </is>
      </c>
    </row>
    <row r="25" ht="12.75" customHeight="1" s="118">
      <c r="A25" s="158" t="inlineStr">
        <is>
          <t>Tank</t>
        </is>
      </c>
      <c r="B25" s="158" t="inlineStr">
        <is>
          <t>L</t>
        </is>
      </c>
      <c r="C25" s="158" t="inlineStr">
        <is>
          <t>XL</t>
        </is>
      </c>
      <c r="L25" s="117" t="inlineStr">
        <is>
          <t>Bermuda</t>
        </is>
      </c>
    </row>
    <row r="26" ht="12.75" customHeight="1" s="118">
      <c r="A26" s="158" t="inlineStr">
        <is>
          <t>Volley</t>
        </is>
      </c>
      <c r="B26" s="158" t="inlineStr">
        <is>
          <t>XL</t>
        </is>
      </c>
      <c r="C26" s="158" t="inlineStr">
        <is>
          <t>XXL</t>
        </is>
      </c>
      <c r="L26" s="117" t="inlineStr">
        <is>
          <t>Bhutan</t>
        </is>
      </c>
    </row>
    <row r="27" ht="12.75" customHeight="1" s="118">
      <c r="A27" s="158" t="inlineStr">
        <is>
          <t>Ziklo</t>
        </is>
      </c>
      <c r="B27" s="158" t="inlineStr">
        <is>
          <t>XXL</t>
        </is>
      </c>
      <c r="C27" s="158" t="inlineStr">
        <is>
          <t>XXXL</t>
        </is>
      </c>
      <c r="L27" s="117" t="inlineStr">
        <is>
          <t>Bolivia</t>
        </is>
      </c>
    </row>
    <row r="28" ht="12.75" customHeight="1" s="118">
      <c r="A28" s="158" t="inlineStr">
        <is>
          <t>----- Bottom -----</t>
        </is>
      </c>
      <c r="B28" s="158" t="inlineStr">
        <is>
          <t>XXXL</t>
        </is>
      </c>
      <c r="L28" s="117" t="inlineStr">
        <is>
          <t>Bosnia and Herzegovina</t>
        </is>
      </c>
    </row>
    <row r="29" ht="12.75" customHeight="1" s="118">
      <c r="A29" s="158" t="inlineStr">
        <is>
          <t>Short</t>
        </is>
      </c>
      <c r="B29" s="117" t="n"/>
      <c r="L29" s="117" t="inlineStr">
        <is>
          <t>Botswana</t>
        </is>
      </c>
    </row>
    <row r="30" ht="12.75" customHeight="1" s="118">
      <c r="A30" s="158" t="inlineStr">
        <is>
          <t>Half_Leg</t>
        </is>
      </c>
      <c r="B30" s="117" t="n"/>
      <c r="L30" s="117" t="inlineStr">
        <is>
          <t>Brazil</t>
        </is>
      </c>
    </row>
    <row r="31" ht="12.75" customHeight="1" s="118">
      <c r="A31" s="158" t="inlineStr">
        <is>
          <t>Korsair</t>
        </is>
      </c>
      <c r="B31" s="117" t="inlineStr">
        <is>
          <t>Size Rect Flag</t>
        </is>
      </c>
      <c r="C31" s="117" t="inlineStr">
        <is>
          <t>Size BeachFlag</t>
        </is>
      </c>
      <c r="D31" s="117" t="inlineStr">
        <is>
          <t>Size Foot</t>
        </is>
      </c>
      <c r="L31" s="117" t="inlineStr">
        <is>
          <t>Brunei Darussalam</t>
        </is>
      </c>
    </row>
    <row r="32" ht="12.75" customHeight="1" s="118">
      <c r="A32" s="158" t="inlineStr">
        <is>
          <t>Korsair_Plus</t>
        </is>
      </c>
      <c r="B32" s="158" t="inlineStr">
        <is>
          <t>150x85</t>
        </is>
      </c>
      <c r="C32" s="158" t="inlineStr">
        <is>
          <t>450x80</t>
        </is>
      </c>
      <c r="D32" s="158" t="inlineStr">
        <is>
          <t>Grass_Spike</t>
        </is>
      </c>
      <c r="L32" s="117" t="inlineStr">
        <is>
          <t>Bulgaria</t>
        </is>
      </c>
    </row>
    <row r="33" ht="12.75" customHeight="1" s="118">
      <c r="A33" s="158" t="inlineStr">
        <is>
          <t>Legging</t>
        </is>
      </c>
      <c r="B33" s="158" t="inlineStr">
        <is>
          <t>134x123</t>
        </is>
      </c>
      <c r="C33" s="158" t="inlineStr">
        <is>
          <t>350x62</t>
        </is>
      </c>
      <c r="D33" s="158" t="inlineStr">
        <is>
          <t>Sand_Screw</t>
        </is>
      </c>
      <c r="L33" s="117" t="inlineStr">
        <is>
          <t>Burkina Faso</t>
        </is>
      </c>
    </row>
    <row r="34" ht="12.75" customHeight="1" s="118">
      <c r="A34" s="158" t="inlineStr">
        <is>
          <t>Skirt</t>
        </is>
      </c>
      <c r="B34" s="158" t="n"/>
      <c r="C34" s="158" t="inlineStr">
        <is>
          <t>250x48</t>
        </is>
      </c>
      <c r="L34" s="117" t="inlineStr">
        <is>
          <t>Burundi</t>
        </is>
      </c>
    </row>
    <row r="35" ht="12.75" customHeight="1" s="118">
      <c r="A35" s="158" t="inlineStr">
        <is>
          <t>Underwear</t>
        </is>
      </c>
      <c r="L35" s="117" t="inlineStr">
        <is>
          <t>Cambodia</t>
        </is>
      </c>
    </row>
    <row r="36" ht="12.75" customHeight="1" s="118">
      <c r="A36" s="158" t="inlineStr">
        <is>
          <t>----- Accessories -----</t>
        </is>
      </c>
      <c r="K36" s="158" t="n"/>
      <c r="L36" s="117" t="inlineStr">
        <is>
          <t>Cameroon</t>
        </is>
      </c>
    </row>
    <row r="37" ht="12.75" customHeight="1" s="118">
      <c r="A37" s="158" t="inlineStr">
        <is>
          <t>Cap</t>
        </is>
      </c>
      <c r="K37" s="158" t="n"/>
      <c r="L37" s="117" t="inlineStr">
        <is>
          <t>Canada</t>
        </is>
      </c>
    </row>
    <row r="38" ht="12.75" customHeight="1" s="118">
      <c r="A38" s="158" t="inlineStr">
        <is>
          <t>Compression_Sleeves</t>
        </is>
      </c>
      <c r="K38" s="158" t="n"/>
      <c r="L38" s="117" t="inlineStr">
        <is>
          <t>Cape Verde</t>
        </is>
      </c>
    </row>
    <row r="39" ht="12.75" customHeight="1" s="118">
      <c r="A39" s="158" t="inlineStr">
        <is>
          <t>Drawstring_Bag</t>
        </is>
      </c>
      <c r="K39" s="158" t="n"/>
      <c r="L39" s="117" t="inlineStr">
        <is>
          <t>Cayman Islands</t>
        </is>
      </c>
    </row>
    <row r="40" ht="12.75" customHeight="1" s="118">
      <c r="A40" s="158" t="inlineStr">
        <is>
          <t>Gloves</t>
        </is>
      </c>
      <c r="K40" s="158" t="n"/>
      <c r="L40" s="117" t="inlineStr">
        <is>
          <t>Central African Republic</t>
        </is>
      </c>
    </row>
    <row r="41" ht="12.75" customHeight="1" s="118">
      <c r="A41" s="158" t="inlineStr">
        <is>
          <t>Handwarmer</t>
        </is>
      </c>
      <c r="K41" s="158" t="n"/>
      <c r="L41" s="117" t="inlineStr">
        <is>
          <t>Chad</t>
        </is>
      </c>
    </row>
    <row r="42" ht="12.75" customHeight="1" s="118">
      <c r="A42" s="158" t="inlineStr">
        <is>
          <t>Headband</t>
        </is>
      </c>
      <c r="K42" s="158" t="n"/>
      <c r="L42" s="117" t="inlineStr">
        <is>
          <t>Chile</t>
        </is>
      </c>
    </row>
    <row r="43" ht="12.75" customHeight="1" s="118">
      <c r="A43" s="158" t="inlineStr">
        <is>
          <t>Kuxin</t>
        </is>
      </c>
      <c r="K43" s="158" t="n"/>
      <c r="L43" s="117" t="inlineStr">
        <is>
          <t>China</t>
        </is>
      </c>
    </row>
    <row r="44" ht="12.75" customHeight="1" s="118">
      <c r="A44" s="158" t="inlineStr">
        <is>
          <t>Snood</t>
        </is>
      </c>
      <c r="K44" s="158" t="n"/>
      <c r="L44" s="117" t="inlineStr">
        <is>
          <t>Colombia</t>
        </is>
      </c>
    </row>
    <row r="45" ht="12.75" customHeight="1" s="118">
      <c r="A45" s="158" t="inlineStr">
        <is>
          <t>Softshell</t>
        </is>
      </c>
      <c r="K45" s="158" t="n"/>
      <c r="L45" s="117" t="inlineStr">
        <is>
          <t>Comoros</t>
        </is>
      </c>
    </row>
    <row r="46" ht="12.75" customHeight="1" s="118">
      <c r="A46" s="158" t="inlineStr">
        <is>
          <t>Thermal_Warmer</t>
        </is>
      </c>
      <c r="K46" s="158" t="n"/>
      <c r="L46" s="117" t="inlineStr">
        <is>
          <t>Congo</t>
        </is>
      </c>
    </row>
    <row r="47" ht="12.75" customHeight="1" s="118">
      <c r="A47" s="158" t="inlineStr">
        <is>
          <t>Towel</t>
        </is>
      </c>
      <c r="K47" s="158" t="n"/>
      <c r="L47" s="117" t="inlineStr">
        <is>
          <t>Congo, The Democratic Republic of The</t>
        </is>
      </c>
    </row>
    <row r="48" ht="12.75" customHeight="1" s="118">
      <c r="A48" s="158" t="inlineStr">
        <is>
          <t>Wristband</t>
        </is>
      </c>
      <c r="K48" s="158" t="n"/>
      <c r="L48" s="117" t="inlineStr">
        <is>
          <t>Cook Islands</t>
        </is>
      </c>
    </row>
    <row r="49" ht="12.75" customHeight="1" s="118">
      <c r="A49" s="158" t="inlineStr">
        <is>
          <t>----- Flags -----</t>
        </is>
      </c>
      <c r="K49" s="158" t="n"/>
      <c r="L49" s="117" t="inlineStr">
        <is>
          <t>Costa Rica</t>
        </is>
      </c>
    </row>
    <row r="50" ht="12.75" customHeight="1" s="118">
      <c r="A50" s="158" t="inlineStr">
        <is>
          <t>Beach_Flag</t>
        </is>
      </c>
      <c r="K50" s="158" t="n"/>
      <c r="L50" s="117" t="inlineStr">
        <is>
          <t>Cote D'ivoire</t>
        </is>
      </c>
    </row>
    <row r="51" ht="12.75" customHeight="1" s="118">
      <c r="A51" s="158" t="inlineStr">
        <is>
          <t>Rectangular_Flag</t>
        </is>
      </c>
      <c r="K51" s="158" t="n"/>
      <c r="L51" s="117" t="inlineStr">
        <is>
          <t>Croatia</t>
        </is>
      </c>
    </row>
    <row r="52" ht="12.75" customHeight="1" s="118">
      <c r="A52" s="158" t="inlineStr">
        <is>
          <t>Fanion</t>
        </is>
      </c>
      <c r="K52" s="158" t="n"/>
      <c r="L52" s="117" t="inlineStr">
        <is>
          <t>Cuba</t>
        </is>
      </c>
    </row>
    <row r="53" ht="12.75" customHeight="1" s="118">
      <c r="A53" s="158" t="inlineStr">
        <is>
          <t>Foot</t>
        </is>
      </c>
      <c r="K53" s="158" t="n"/>
      <c r="L53" s="117" t="inlineStr">
        <is>
          <t>Cyprus</t>
        </is>
      </c>
    </row>
    <row r="54" ht="12.75" customHeight="1" s="118">
      <c r="A54" s="158" t="inlineStr">
        <is>
          <t>Garland</t>
        </is>
      </c>
      <c r="K54" s="158" t="n"/>
      <c r="L54" s="117" t="inlineStr">
        <is>
          <t>Czech Republic</t>
        </is>
      </c>
    </row>
    <row r="55" ht="12.75" customHeight="1" s="118">
      <c r="K55" s="158" t="n"/>
      <c r="L55" s="117" t="inlineStr">
        <is>
          <t>Denmark</t>
        </is>
      </c>
    </row>
    <row r="56" ht="12.75" customHeight="1" s="118">
      <c r="K56" s="158" t="n"/>
      <c r="L56" s="117" t="inlineStr">
        <is>
          <t>Djibouti</t>
        </is>
      </c>
    </row>
    <row r="57" ht="12.75" customHeight="1" s="118">
      <c r="K57" s="158" t="n"/>
      <c r="L57" s="117" t="inlineStr">
        <is>
          <t>Dominica</t>
        </is>
      </c>
    </row>
    <row r="58" ht="12.75" customHeight="1" s="118">
      <c r="K58" s="158" t="n"/>
      <c r="L58" s="117" t="inlineStr">
        <is>
          <t>Dominican Republic</t>
        </is>
      </c>
    </row>
    <row r="59" ht="12.75" customHeight="1" s="118">
      <c r="K59" s="158" t="n"/>
      <c r="L59" s="117" t="inlineStr">
        <is>
          <t>Ecuador</t>
        </is>
      </c>
    </row>
    <row r="60" ht="12.75" customHeight="1" s="118">
      <c r="K60" s="158" t="n"/>
      <c r="L60" s="117" t="inlineStr">
        <is>
          <t>Egypt</t>
        </is>
      </c>
    </row>
    <row r="61" ht="12.75" customHeight="1" s="118">
      <c r="K61" s="158" t="n"/>
      <c r="L61" s="117" t="inlineStr">
        <is>
          <t>El Salvador</t>
        </is>
      </c>
    </row>
    <row r="62" ht="12.75" customHeight="1" s="118">
      <c r="L62" s="117" t="inlineStr">
        <is>
          <t>Equatorial Guinea</t>
        </is>
      </c>
    </row>
    <row r="63" ht="12.75" customHeight="1" s="118">
      <c r="L63" s="117" t="inlineStr">
        <is>
          <t>Eritrea</t>
        </is>
      </c>
    </row>
    <row r="64" ht="12.75" customHeight="1" s="118">
      <c r="L64" s="117" t="inlineStr">
        <is>
          <t>Estonia</t>
        </is>
      </c>
    </row>
    <row r="65" ht="12.75" customHeight="1" s="118">
      <c r="L65" s="117" t="inlineStr">
        <is>
          <t>Ethiopia</t>
        </is>
      </c>
    </row>
    <row r="66" ht="12.75" customHeight="1" s="118">
      <c r="L66" s="117" t="inlineStr">
        <is>
          <t>Falkland Islands (Malvinas)</t>
        </is>
      </c>
    </row>
    <row r="67" ht="12.75" customHeight="1" s="118">
      <c r="L67" s="117" t="inlineStr">
        <is>
          <t>Faroe Islands</t>
        </is>
      </c>
    </row>
    <row r="68" ht="12.75" customHeight="1" s="118">
      <c r="L68" s="117" t="inlineStr">
        <is>
          <t>Fiji</t>
        </is>
      </c>
    </row>
    <row r="69" ht="12.75" customHeight="1" s="118">
      <c r="L69" s="117" t="inlineStr">
        <is>
          <t>Finland</t>
        </is>
      </c>
    </row>
    <row r="70" ht="12.75" customHeight="1" s="118">
      <c r="L70" s="117" t="inlineStr">
        <is>
          <t>France</t>
        </is>
      </c>
    </row>
    <row r="71" ht="12.75" customHeight="1" s="118">
      <c r="L71" s="117" t="inlineStr">
        <is>
          <t>French Guiana</t>
        </is>
      </c>
    </row>
    <row r="72" ht="12.75" customHeight="1" s="118">
      <c r="L72" s="117" t="inlineStr">
        <is>
          <t>French Polynesia</t>
        </is>
      </c>
    </row>
    <row r="73" ht="12.75" customHeight="1" s="118">
      <c r="L73" s="117" t="inlineStr">
        <is>
          <t>French Southern Territories</t>
        </is>
      </c>
    </row>
    <row r="74" ht="12.75" customHeight="1" s="118">
      <c r="L74" s="117" t="inlineStr">
        <is>
          <t>Gabon</t>
        </is>
      </c>
    </row>
    <row r="75" ht="12.75" customHeight="1" s="118">
      <c r="L75" s="117" t="inlineStr">
        <is>
          <t>Gambia</t>
        </is>
      </c>
    </row>
    <row r="76" ht="12.75" customHeight="1" s="118">
      <c r="L76" s="117" t="inlineStr">
        <is>
          <t>Georgia</t>
        </is>
      </c>
    </row>
    <row r="77" ht="12.75" customHeight="1" s="118">
      <c r="L77" s="117" t="inlineStr">
        <is>
          <t>Germany</t>
        </is>
      </c>
    </row>
    <row r="78" ht="12.75" customHeight="1" s="118">
      <c r="L78" s="117" t="inlineStr">
        <is>
          <t>Ghana</t>
        </is>
      </c>
    </row>
    <row r="79" ht="12.75" customHeight="1" s="118">
      <c r="L79" s="117" t="inlineStr">
        <is>
          <t>Gibraltar</t>
        </is>
      </c>
    </row>
    <row r="80" ht="12.75" customHeight="1" s="118">
      <c r="L80" s="117" t="inlineStr">
        <is>
          <t>Greece</t>
        </is>
      </c>
    </row>
    <row r="81" ht="12.75" customHeight="1" s="118">
      <c r="L81" s="117" t="inlineStr">
        <is>
          <t>Greenland</t>
        </is>
      </c>
    </row>
    <row r="82" ht="12.75" customHeight="1" s="118">
      <c r="L82" s="117" t="inlineStr">
        <is>
          <t>Grenada</t>
        </is>
      </c>
    </row>
    <row r="83" ht="12.75" customHeight="1" s="118">
      <c r="L83" s="117" t="inlineStr">
        <is>
          <t>Guadeloupe</t>
        </is>
      </c>
    </row>
    <row r="84" ht="12.75" customHeight="1" s="118">
      <c r="L84" s="117" t="inlineStr">
        <is>
          <t>Guam</t>
        </is>
      </c>
    </row>
    <row r="85" ht="12.75" customHeight="1" s="118">
      <c r="L85" s="117" t="inlineStr">
        <is>
          <t>Guatemala</t>
        </is>
      </c>
    </row>
    <row r="86" ht="12.75" customHeight="1" s="118">
      <c r="L86" s="117" t="inlineStr">
        <is>
          <t>Guernsey</t>
        </is>
      </c>
    </row>
    <row r="87" ht="12.75" customHeight="1" s="118">
      <c r="L87" s="117" t="inlineStr">
        <is>
          <t>Guinea</t>
        </is>
      </c>
    </row>
    <row r="88" ht="12.75" customHeight="1" s="118">
      <c r="L88" s="117" t="inlineStr">
        <is>
          <t>Guinea-bissau</t>
        </is>
      </c>
    </row>
    <row r="89" ht="12.75" customHeight="1" s="118">
      <c r="L89" s="117" t="inlineStr">
        <is>
          <t>Guyana</t>
        </is>
      </c>
    </row>
    <row r="90" ht="12.75" customHeight="1" s="118">
      <c r="L90" s="117" t="inlineStr">
        <is>
          <t>Haiti</t>
        </is>
      </c>
    </row>
    <row r="91" ht="12.75" customHeight="1" s="118">
      <c r="L91" s="117" t="inlineStr">
        <is>
          <t>Holy See (Vatican City State)</t>
        </is>
      </c>
    </row>
    <row r="92" ht="12.75" customHeight="1" s="118">
      <c r="L92" s="117" t="inlineStr">
        <is>
          <t>Honduras</t>
        </is>
      </c>
    </row>
    <row r="93" ht="12.75" customHeight="1" s="118">
      <c r="L93" s="117" t="inlineStr">
        <is>
          <t>Hong Kong</t>
        </is>
      </c>
    </row>
    <row r="94" ht="12.75" customHeight="1" s="118">
      <c r="L94" s="117" t="inlineStr">
        <is>
          <t>Hungary</t>
        </is>
      </c>
    </row>
    <row r="95" ht="12.75" customHeight="1" s="118">
      <c r="L95" s="117" t="inlineStr">
        <is>
          <t>Iceland</t>
        </is>
      </c>
    </row>
    <row r="96" ht="12.75" customHeight="1" s="118">
      <c r="L96" s="117" t="inlineStr">
        <is>
          <t>India</t>
        </is>
      </c>
    </row>
    <row r="97" ht="12.75" customHeight="1" s="118">
      <c r="L97" s="117" t="inlineStr">
        <is>
          <t>Indonesia</t>
        </is>
      </c>
    </row>
    <row r="98" ht="12.75" customHeight="1" s="118">
      <c r="L98" s="117" t="inlineStr">
        <is>
          <t>Iran, Islamic Republic of</t>
        </is>
      </c>
    </row>
    <row r="99" ht="12.75" customHeight="1" s="118">
      <c r="L99" s="117" t="inlineStr">
        <is>
          <t>Iraq</t>
        </is>
      </c>
    </row>
    <row r="100" ht="12.75" customHeight="1" s="118">
      <c r="L100" s="117" t="inlineStr">
        <is>
          <t>Ireland</t>
        </is>
      </c>
    </row>
    <row r="101" ht="12.75" customHeight="1" s="118">
      <c r="L101" s="117" t="inlineStr">
        <is>
          <t>Isle of Man</t>
        </is>
      </c>
    </row>
    <row r="102" ht="12.75" customHeight="1" s="118">
      <c r="L102" s="117" t="inlineStr">
        <is>
          <t>Israel</t>
        </is>
      </c>
    </row>
    <row r="103" ht="12.75" customHeight="1" s="118">
      <c r="L103" s="117" t="inlineStr">
        <is>
          <t>Italy</t>
        </is>
      </c>
    </row>
    <row r="104" ht="12.75" customHeight="1" s="118">
      <c r="L104" s="117" t="inlineStr">
        <is>
          <t>Jamaica</t>
        </is>
      </c>
    </row>
    <row r="105" ht="12.75" customHeight="1" s="118">
      <c r="L105" s="117" t="inlineStr">
        <is>
          <t>Japan</t>
        </is>
      </c>
    </row>
    <row r="106" ht="12.75" customHeight="1" s="118">
      <c r="L106" s="117" t="inlineStr">
        <is>
          <t>Jersey</t>
        </is>
      </c>
    </row>
    <row r="107" ht="12.75" customHeight="1" s="118">
      <c r="L107" s="117" t="inlineStr">
        <is>
          <t>Jordan</t>
        </is>
      </c>
    </row>
    <row r="108" ht="12.75" customHeight="1" s="118">
      <c r="L108" s="117" t="inlineStr">
        <is>
          <t>Kazakhstan</t>
        </is>
      </c>
    </row>
    <row r="109" ht="12.75" customHeight="1" s="118">
      <c r="L109" s="117" t="inlineStr">
        <is>
          <t>Kenya</t>
        </is>
      </c>
    </row>
    <row r="110" ht="12.75" customHeight="1" s="118">
      <c r="L110" s="117" t="inlineStr">
        <is>
          <t>Kiribati</t>
        </is>
      </c>
    </row>
    <row r="111" ht="12.75" customHeight="1" s="118">
      <c r="L111" s="117" t="inlineStr">
        <is>
          <t>Korea, Democratic People's Republic of</t>
        </is>
      </c>
    </row>
    <row r="112" ht="12.75" customHeight="1" s="118">
      <c r="L112" s="117" t="inlineStr">
        <is>
          <t>Korea, Republic of</t>
        </is>
      </c>
    </row>
    <row r="113" ht="12.75" customHeight="1" s="118">
      <c r="L113" s="117" t="inlineStr">
        <is>
          <t>Kuwait</t>
        </is>
      </c>
    </row>
    <row r="114" ht="12.75" customHeight="1" s="118">
      <c r="L114" s="117" t="inlineStr">
        <is>
          <t>Kyrgyzstan</t>
        </is>
      </c>
    </row>
    <row r="115" ht="12.75" customHeight="1" s="118">
      <c r="L115" s="117" t="inlineStr">
        <is>
          <t>Lao People's Democratic Republic</t>
        </is>
      </c>
    </row>
    <row r="116" ht="12.75" customHeight="1" s="118">
      <c r="L116" s="117" t="inlineStr">
        <is>
          <t>Latvia</t>
        </is>
      </c>
    </row>
    <row r="117" ht="12.75" customHeight="1" s="118">
      <c r="L117" s="117" t="inlineStr">
        <is>
          <t>Lebanon</t>
        </is>
      </c>
    </row>
    <row r="118" ht="12.75" customHeight="1" s="118">
      <c r="L118" s="117" t="inlineStr">
        <is>
          <t>Lesotho</t>
        </is>
      </c>
    </row>
    <row r="119" ht="12.75" customHeight="1" s="118">
      <c r="L119" s="117" t="inlineStr">
        <is>
          <t>Liberia</t>
        </is>
      </c>
    </row>
    <row r="120" ht="12.75" customHeight="1" s="118">
      <c r="L120" s="117" t="inlineStr">
        <is>
          <t>Libyan Arab Jamahiriya</t>
        </is>
      </c>
    </row>
    <row r="121" ht="12.75" customHeight="1" s="118">
      <c r="L121" s="117" t="inlineStr">
        <is>
          <t>Liechtenstein</t>
        </is>
      </c>
    </row>
    <row r="122" ht="12.75" customHeight="1" s="118">
      <c r="L122" s="117" t="inlineStr">
        <is>
          <t>Lithuania</t>
        </is>
      </c>
    </row>
    <row r="123" ht="12.75" customHeight="1" s="118">
      <c r="L123" s="117" t="inlineStr">
        <is>
          <t>Luxembourg</t>
        </is>
      </c>
    </row>
    <row r="124" ht="12.75" customHeight="1" s="118">
      <c r="L124" s="117" t="inlineStr">
        <is>
          <t>Macao</t>
        </is>
      </c>
    </row>
    <row r="125" ht="12.75" customHeight="1" s="118">
      <c r="L125" s="117" t="inlineStr">
        <is>
          <t>Macedonia, The Former Yugoslav Republic of</t>
        </is>
      </c>
    </row>
    <row r="126" ht="12.75" customHeight="1" s="118">
      <c r="L126" s="117" t="inlineStr">
        <is>
          <t>Madagascar</t>
        </is>
      </c>
    </row>
    <row r="127" ht="12.75" customHeight="1" s="118">
      <c r="L127" s="117" t="inlineStr">
        <is>
          <t>Malawi</t>
        </is>
      </c>
    </row>
    <row r="128" ht="12.75" customHeight="1" s="118">
      <c r="L128" s="117" t="inlineStr">
        <is>
          <t>Malaysia</t>
        </is>
      </c>
    </row>
    <row r="129" ht="12.75" customHeight="1" s="118">
      <c r="L129" s="117" t="inlineStr">
        <is>
          <t>Maldives</t>
        </is>
      </c>
    </row>
    <row r="130" ht="12.75" customHeight="1" s="118">
      <c r="L130" s="117" t="inlineStr">
        <is>
          <t>Mali</t>
        </is>
      </c>
    </row>
    <row r="131" ht="12.75" customHeight="1" s="118">
      <c r="L131" s="117" t="inlineStr">
        <is>
          <t>Malta</t>
        </is>
      </c>
    </row>
    <row r="132" ht="12.75" customHeight="1" s="118">
      <c r="L132" s="117" t="inlineStr">
        <is>
          <t>Marshall Islands</t>
        </is>
      </c>
    </row>
    <row r="133" ht="12.75" customHeight="1" s="118">
      <c r="L133" s="117" t="inlineStr">
        <is>
          <t>Martinique</t>
        </is>
      </c>
    </row>
    <row r="134" ht="12.75" customHeight="1" s="118">
      <c r="L134" s="117" t="inlineStr">
        <is>
          <t>Mauritania</t>
        </is>
      </c>
    </row>
    <row r="135" ht="12.75" customHeight="1" s="118">
      <c r="L135" s="117" t="inlineStr">
        <is>
          <t>Mauritius</t>
        </is>
      </c>
    </row>
    <row r="136" ht="12.75" customHeight="1" s="118">
      <c r="L136" s="117" t="inlineStr">
        <is>
          <t>Mayotte</t>
        </is>
      </c>
    </row>
    <row r="137" ht="12.75" customHeight="1" s="118">
      <c r="L137" s="117" t="inlineStr">
        <is>
          <t>Mexico</t>
        </is>
      </c>
    </row>
    <row r="138" ht="12.75" customHeight="1" s="118">
      <c r="L138" s="117" t="inlineStr">
        <is>
          <t>Micronesia, Federated States of</t>
        </is>
      </c>
    </row>
    <row r="139" ht="12.75" customHeight="1" s="118">
      <c r="L139" s="117" t="inlineStr">
        <is>
          <t>Moldova, Republic of</t>
        </is>
      </c>
    </row>
    <row r="140" ht="12.75" customHeight="1" s="118">
      <c r="L140" s="117" t="inlineStr">
        <is>
          <t>Monaco</t>
        </is>
      </c>
    </row>
    <row r="141" ht="12.75" customHeight="1" s="118">
      <c r="L141" s="117" t="inlineStr">
        <is>
          <t>Mongolia</t>
        </is>
      </c>
    </row>
    <row r="142" ht="12.75" customHeight="1" s="118">
      <c r="L142" s="117" t="inlineStr">
        <is>
          <t>Montenegro</t>
        </is>
      </c>
    </row>
    <row r="143" ht="12.75" customHeight="1" s="118">
      <c r="L143" s="117" t="inlineStr">
        <is>
          <t>Montserrat</t>
        </is>
      </c>
    </row>
    <row r="144" ht="12.75" customHeight="1" s="118">
      <c r="L144" s="117" t="inlineStr">
        <is>
          <t>Morocco</t>
        </is>
      </c>
    </row>
    <row r="145" ht="12.75" customHeight="1" s="118">
      <c r="L145" s="117" t="inlineStr">
        <is>
          <t>Mozambique</t>
        </is>
      </c>
    </row>
    <row r="146" ht="12.75" customHeight="1" s="118">
      <c r="L146" s="117" t="inlineStr">
        <is>
          <t>Myanmar</t>
        </is>
      </c>
    </row>
    <row r="147" ht="12.75" customHeight="1" s="118">
      <c r="L147" s="117" t="inlineStr">
        <is>
          <t>Namibia</t>
        </is>
      </c>
    </row>
    <row r="148" ht="12.75" customHeight="1" s="118">
      <c r="L148" s="117" t="inlineStr">
        <is>
          <t>Nauru</t>
        </is>
      </c>
    </row>
    <row r="149" ht="12.75" customHeight="1" s="118">
      <c r="L149" s="117" t="inlineStr">
        <is>
          <t>Nepal</t>
        </is>
      </c>
    </row>
    <row r="150" ht="12.75" customHeight="1" s="118">
      <c r="L150" s="117" t="inlineStr">
        <is>
          <t>Netherlands</t>
        </is>
      </c>
    </row>
    <row r="151" ht="12.75" customHeight="1" s="118">
      <c r="L151" s="117" t="inlineStr">
        <is>
          <t>Netherlands Antilles</t>
        </is>
      </c>
    </row>
    <row r="152" ht="12.75" customHeight="1" s="118">
      <c r="L152" s="117" t="inlineStr">
        <is>
          <t>New Caledonia</t>
        </is>
      </c>
    </row>
    <row r="153" ht="12.75" customHeight="1" s="118">
      <c r="L153" s="117" t="inlineStr">
        <is>
          <t>New Zealand</t>
        </is>
      </c>
    </row>
    <row r="154" ht="12.75" customHeight="1" s="118">
      <c r="L154" s="117" t="inlineStr">
        <is>
          <t>Nicaragua</t>
        </is>
      </c>
    </row>
    <row r="155" ht="12.75" customHeight="1" s="118">
      <c r="L155" s="117" t="inlineStr">
        <is>
          <t>Niger</t>
        </is>
      </c>
    </row>
    <row r="156" ht="12.75" customHeight="1" s="118">
      <c r="L156" s="117" t="inlineStr">
        <is>
          <t>Nigeria</t>
        </is>
      </c>
    </row>
    <row r="157" ht="12.75" customHeight="1" s="118">
      <c r="L157" s="117" t="inlineStr">
        <is>
          <t>Niue</t>
        </is>
      </c>
    </row>
    <row r="158" ht="12.75" customHeight="1" s="118">
      <c r="L158" s="117" t="inlineStr">
        <is>
          <t>Norfolk Island</t>
        </is>
      </c>
    </row>
    <row r="159" ht="12.75" customHeight="1" s="118">
      <c r="L159" s="117" t="inlineStr">
        <is>
          <t>Northern Irland</t>
        </is>
      </c>
    </row>
    <row r="160" ht="12.75" customHeight="1" s="118">
      <c r="L160" s="117" t="inlineStr">
        <is>
          <t>Northern Mariana Islands</t>
        </is>
      </c>
    </row>
    <row r="161" ht="12.75" customHeight="1" s="118">
      <c r="L161" s="117" t="inlineStr">
        <is>
          <t>Norway</t>
        </is>
      </c>
    </row>
    <row r="162" ht="12.75" customHeight="1" s="118">
      <c r="L162" s="117" t="inlineStr">
        <is>
          <t>Oman</t>
        </is>
      </c>
    </row>
    <row r="163" ht="12.75" customHeight="1" s="118">
      <c r="L163" s="117" t="inlineStr">
        <is>
          <t>Pakistan</t>
        </is>
      </c>
    </row>
    <row r="164" ht="12.75" customHeight="1" s="118">
      <c r="L164" s="117" t="inlineStr">
        <is>
          <t>Palau</t>
        </is>
      </c>
    </row>
    <row r="165" ht="12.75" customHeight="1" s="118">
      <c r="L165" s="117" t="inlineStr">
        <is>
          <t>Palestinian Territory, Occupied</t>
        </is>
      </c>
    </row>
    <row r="166" ht="12.75" customHeight="1" s="118">
      <c r="L166" s="117" t="inlineStr">
        <is>
          <t>Panama</t>
        </is>
      </c>
    </row>
    <row r="167" ht="12.75" customHeight="1" s="118">
      <c r="L167" s="117" t="inlineStr">
        <is>
          <t>Papua New Guinea</t>
        </is>
      </c>
    </row>
    <row r="168" ht="12.75" customHeight="1" s="118">
      <c r="L168" s="117" t="inlineStr">
        <is>
          <t>Paraguay</t>
        </is>
      </c>
    </row>
    <row r="169" ht="12.75" customHeight="1" s="118">
      <c r="L169" s="117" t="inlineStr">
        <is>
          <t>Peru</t>
        </is>
      </c>
    </row>
    <row r="170" ht="12.75" customHeight="1" s="118">
      <c r="L170" s="117" t="inlineStr">
        <is>
          <t>Philippines</t>
        </is>
      </c>
    </row>
    <row r="171" ht="12.75" customHeight="1" s="118">
      <c r="L171" s="117" t="inlineStr">
        <is>
          <t>Pitcairn</t>
        </is>
      </c>
    </row>
    <row r="172" ht="12.75" customHeight="1" s="118">
      <c r="L172" s="117" t="inlineStr">
        <is>
          <t>Poland</t>
        </is>
      </c>
    </row>
    <row r="173" ht="12.75" customHeight="1" s="118">
      <c r="L173" s="117" t="inlineStr">
        <is>
          <t>Portugal</t>
        </is>
      </c>
    </row>
    <row r="174" ht="12.75" customHeight="1" s="118">
      <c r="L174" s="117" t="inlineStr">
        <is>
          <t>Puerto Rico</t>
        </is>
      </c>
    </row>
    <row r="175" ht="12.75" customHeight="1" s="118">
      <c r="L175" s="117" t="inlineStr">
        <is>
          <t>Qatar</t>
        </is>
      </c>
    </row>
    <row r="176" ht="12.75" customHeight="1" s="118">
      <c r="L176" s="117" t="inlineStr">
        <is>
          <t>Reunion</t>
        </is>
      </c>
    </row>
    <row r="177" ht="12.75" customHeight="1" s="118">
      <c r="L177" s="117" t="inlineStr">
        <is>
          <t>Romania</t>
        </is>
      </c>
    </row>
    <row r="178" ht="12.75" customHeight="1" s="118">
      <c r="L178" s="117" t="inlineStr">
        <is>
          <t>Russian Federation</t>
        </is>
      </c>
    </row>
    <row r="179" ht="12.75" customHeight="1" s="118">
      <c r="L179" s="117" t="inlineStr">
        <is>
          <t>Rwanda</t>
        </is>
      </c>
    </row>
    <row r="180" ht="12.75" customHeight="1" s="118">
      <c r="L180" s="117" t="inlineStr">
        <is>
          <t>Saint Helena</t>
        </is>
      </c>
    </row>
    <row r="181" ht="12.75" customHeight="1" s="118">
      <c r="L181" s="117" t="inlineStr">
        <is>
          <t>Saint Kitts and Nevis</t>
        </is>
      </c>
    </row>
    <row r="182" ht="12.75" customHeight="1" s="118">
      <c r="L182" s="117" t="inlineStr">
        <is>
          <t>Saint Lucia</t>
        </is>
      </c>
    </row>
    <row r="183" ht="12.75" customHeight="1" s="118">
      <c r="L183" s="117" t="inlineStr">
        <is>
          <t>Saint Pierre and Miquelon</t>
        </is>
      </c>
    </row>
    <row r="184" ht="12.75" customHeight="1" s="118">
      <c r="L184" s="117" t="inlineStr">
        <is>
          <t>Saint Vincent and The Grenadines</t>
        </is>
      </c>
    </row>
    <row r="185" ht="12.75" customHeight="1" s="118">
      <c r="L185" s="117" t="inlineStr">
        <is>
          <t>Samoa</t>
        </is>
      </c>
    </row>
    <row r="186" ht="12.75" customHeight="1" s="118">
      <c r="L186" s="117" t="inlineStr">
        <is>
          <t>San Marino</t>
        </is>
      </c>
    </row>
    <row r="187" ht="12.75" customHeight="1" s="118">
      <c r="L187" s="117" t="inlineStr">
        <is>
          <t>Sao Tome and Principe</t>
        </is>
      </c>
    </row>
    <row r="188" ht="12.75" customHeight="1" s="118">
      <c r="L188" s="117" t="inlineStr">
        <is>
          <t>Saudi Arabia</t>
        </is>
      </c>
    </row>
    <row r="189" ht="12.75" customHeight="1" s="118">
      <c r="L189" s="117" t="inlineStr">
        <is>
          <t>Senegal</t>
        </is>
      </c>
    </row>
    <row r="190" ht="12.75" customHeight="1" s="118">
      <c r="L190" s="117" t="inlineStr">
        <is>
          <t>Serbia</t>
        </is>
      </c>
    </row>
    <row r="191" ht="12.75" customHeight="1" s="118">
      <c r="L191" s="117" t="inlineStr">
        <is>
          <t>Seychelles</t>
        </is>
      </c>
    </row>
    <row r="192" ht="12.75" customHeight="1" s="118">
      <c r="L192" s="117" t="inlineStr">
        <is>
          <t>Sierra Leone</t>
        </is>
      </c>
    </row>
    <row r="193" ht="12.75" customHeight="1" s="118">
      <c r="L193" s="117" t="inlineStr">
        <is>
          <t>Singapore</t>
        </is>
      </c>
    </row>
    <row r="194" ht="12.75" customHeight="1" s="118">
      <c r="L194" s="117" t="inlineStr">
        <is>
          <t>Slovakia</t>
        </is>
      </c>
    </row>
    <row r="195" ht="12.75" customHeight="1" s="118">
      <c r="L195" s="117" t="inlineStr">
        <is>
          <t>Slovenia</t>
        </is>
      </c>
    </row>
    <row r="196" ht="12.75" customHeight="1" s="118">
      <c r="L196" s="117" t="inlineStr">
        <is>
          <t>Solomon Islands</t>
        </is>
      </c>
    </row>
    <row r="197" ht="12.75" customHeight="1" s="118">
      <c r="L197" s="117" t="inlineStr">
        <is>
          <t>Somalia</t>
        </is>
      </c>
    </row>
    <row r="198" ht="12.75" customHeight="1" s="118">
      <c r="L198" s="117" t="inlineStr">
        <is>
          <t>South Africa</t>
        </is>
      </c>
    </row>
    <row r="199" ht="12.75" customHeight="1" s="118">
      <c r="L199" s="117" t="inlineStr">
        <is>
          <t>South Georgia and The South Sandwich Islands</t>
        </is>
      </c>
    </row>
    <row r="200" ht="12.75" customHeight="1" s="118">
      <c r="L200" s="117" t="inlineStr">
        <is>
          <t>Spain</t>
        </is>
      </c>
    </row>
    <row r="201" ht="12.75" customHeight="1" s="118">
      <c r="L201" s="117" t="inlineStr">
        <is>
          <t>Sri Lanka</t>
        </is>
      </c>
    </row>
    <row r="202" ht="12.75" customHeight="1" s="118">
      <c r="L202" s="117" t="inlineStr">
        <is>
          <t>Sudan</t>
        </is>
      </c>
    </row>
    <row r="203" ht="12.75" customHeight="1" s="118">
      <c r="L203" s="117" t="inlineStr">
        <is>
          <t>Suriname</t>
        </is>
      </c>
    </row>
    <row r="204" ht="12.75" customHeight="1" s="118">
      <c r="L204" s="117" t="inlineStr">
        <is>
          <t>Svalbard and Jan Mayen</t>
        </is>
      </c>
    </row>
    <row r="205" ht="12.75" customHeight="1" s="118">
      <c r="L205" s="117" t="inlineStr">
        <is>
          <t>Swaziland</t>
        </is>
      </c>
    </row>
    <row r="206" ht="12.75" customHeight="1" s="118">
      <c r="L206" s="117" t="inlineStr">
        <is>
          <t>Sweden</t>
        </is>
      </c>
    </row>
    <row r="207" ht="12.75" customHeight="1" s="118">
      <c r="L207" s="117" t="inlineStr">
        <is>
          <t>Switzerland</t>
        </is>
      </c>
    </row>
    <row r="208" ht="12.75" customHeight="1" s="118">
      <c r="L208" s="117" t="inlineStr">
        <is>
          <t>Syrian Arab Republic</t>
        </is>
      </c>
    </row>
    <row r="209" ht="12.75" customHeight="1" s="118">
      <c r="L209" s="117" t="inlineStr">
        <is>
          <t>Taiwan, Province of China</t>
        </is>
      </c>
    </row>
    <row r="210" ht="12.75" customHeight="1" s="118">
      <c r="L210" s="117" t="inlineStr">
        <is>
          <t>Tajikistan</t>
        </is>
      </c>
    </row>
    <row r="211" ht="12.75" customHeight="1" s="118">
      <c r="L211" s="117" t="inlineStr">
        <is>
          <t>Tanzania, United Republic of</t>
        </is>
      </c>
    </row>
    <row r="212" ht="12.75" customHeight="1" s="118">
      <c r="L212" s="117" t="inlineStr">
        <is>
          <t>Thailand</t>
        </is>
      </c>
    </row>
    <row r="213" ht="12.75" customHeight="1" s="118">
      <c r="L213" s="117" t="inlineStr">
        <is>
          <t>Timor-leste</t>
        </is>
      </c>
    </row>
    <row r="214" ht="12.75" customHeight="1" s="118">
      <c r="L214" s="117" t="inlineStr">
        <is>
          <t>Togo</t>
        </is>
      </c>
    </row>
    <row r="215" ht="12.75" customHeight="1" s="118">
      <c r="L215" s="117" t="inlineStr">
        <is>
          <t>Tokelau</t>
        </is>
      </c>
    </row>
    <row r="216" ht="12.75" customHeight="1" s="118">
      <c r="L216" s="117" t="inlineStr">
        <is>
          <t>Tonga</t>
        </is>
      </c>
    </row>
    <row r="217" ht="12.75" customHeight="1" s="118">
      <c r="L217" s="117" t="inlineStr">
        <is>
          <t>Trinidad and Tobago</t>
        </is>
      </c>
    </row>
    <row r="218" ht="12.75" customHeight="1" s="118">
      <c r="L218" s="117" t="inlineStr">
        <is>
          <t>Tunisia</t>
        </is>
      </c>
    </row>
    <row r="219" ht="12.75" customHeight="1" s="118">
      <c r="L219" s="117" t="inlineStr">
        <is>
          <t>Turkey</t>
        </is>
      </c>
    </row>
    <row r="220" ht="12.75" customHeight="1" s="118">
      <c r="L220" s="117" t="inlineStr">
        <is>
          <t>Turkmenistan</t>
        </is>
      </c>
    </row>
    <row r="221" ht="12.75" customHeight="1" s="118">
      <c r="L221" s="117" t="inlineStr">
        <is>
          <t>Turks and Caicos Islands</t>
        </is>
      </c>
    </row>
    <row r="222" ht="12.75" customHeight="1" s="118">
      <c r="L222" s="117" t="inlineStr">
        <is>
          <t>Tuvalu</t>
        </is>
      </c>
    </row>
    <row r="223" ht="12.75" customHeight="1" s="118">
      <c r="L223" s="117" t="inlineStr">
        <is>
          <t>Uganda</t>
        </is>
      </c>
    </row>
    <row r="224" ht="12.75" customHeight="1" s="118">
      <c r="L224" s="117" t="inlineStr">
        <is>
          <t>Ukraine</t>
        </is>
      </c>
    </row>
    <row r="225" ht="12.75" customHeight="1" s="118">
      <c r="L225" s="117" t="inlineStr">
        <is>
          <t>United Arab Emirates</t>
        </is>
      </c>
    </row>
    <row r="226" ht="12.75" customHeight="1" s="118">
      <c r="L226" s="117" t="inlineStr">
        <is>
          <t>United Kingdom</t>
        </is>
      </c>
    </row>
    <row r="227" ht="12.75" customHeight="1" s="118">
      <c r="L227" s="117" t="inlineStr">
        <is>
          <t>United States</t>
        </is>
      </c>
    </row>
    <row r="228" ht="12.75" customHeight="1" s="118">
      <c r="L228" s="117" t="inlineStr">
        <is>
          <t>United States Minor Outlying Islands</t>
        </is>
      </c>
    </row>
    <row r="229" ht="12.75" customHeight="1" s="118">
      <c r="L229" s="117" t="inlineStr">
        <is>
          <t>Uruguay</t>
        </is>
      </c>
    </row>
    <row r="230" ht="12.75" customHeight="1" s="118">
      <c r="L230" s="117" t="inlineStr">
        <is>
          <t>Uzbekistan</t>
        </is>
      </c>
    </row>
    <row r="231" ht="12.75" customHeight="1" s="118">
      <c r="L231" s="117" t="inlineStr">
        <is>
          <t>Vanuatu</t>
        </is>
      </c>
    </row>
    <row r="232" ht="12.75" customHeight="1" s="118">
      <c r="L232" s="117" t="inlineStr">
        <is>
          <t>Venezuela</t>
        </is>
      </c>
    </row>
    <row r="233" ht="12.75" customHeight="1" s="118">
      <c r="L233" s="117" t="inlineStr">
        <is>
          <t>Viet Nam</t>
        </is>
      </c>
    </row>
    <row r="234" ht="12.75" customHeight="1" s="118">
      <c r="L234" s="117" t="inlineStr">
        <is>
          <t>Virgin Islands, British</t>
        </is>
      </c>
    </row>
    <row r="235" ht="12.75" customHeight="1" s="118">
      <c r="L235" s="117" t="inlineStr">
        <is>
          <t>Virgin Islands, U.S.</t>
        </is>
      </c>
    </row>
    <row r="236" ht="12.75" customHeight="1" s="118">
      <c r="L236" s="117" t="inlineStr">
        <is>
          <t>Wallis and Futuna</t>
        </is>
      </c>
    </row>
    <row r="237" ht="12.75" customHeight="1" s="118">
      <c r="L237" s="117" t="inlineStr">
        <is>
          <t>Western Sahara</t>
        </is>
      </c>
    </row>
    <row r="238" ht="12.75" customHeight="1" s="118">
      <c r="L238" s="117" t="inlineStr">
        <is>
          <t>Yemen</t>
        </is>
      </c>
    </row>
    <row r="239" ht="12.75" customHeight="1" s="118">
      <c r="L239" s="117" t="inlineStr">
        <is>
          <t>Zambia</t>
        </is>
      </c>
    </row>
    <row r="240" ht="12.75" customHeight="1" s="118">
      <c r="L240" s="117" t="inlineStr">
        <is>
          <t>Zimbabwe</t>
        </is>
      </c>
    </row>
  </sheetData>
  <dataValidations count="2">
    <dataValidation sqref="B12 E14 F17 B18:E18 C31:D31 D34" showErrorMessage="1" showDropDown="0" showInputMessage="1" allowBlank="1" prompt="Sélectionnez le type de produit" type="list" errorStyle="stop" operator="between">
      <formula1>$B$260:$B$271</formula1>
      <formula2>0</formula2>
    </dataValidation>
    <dataValidation sqref="L29:L39" showErrorMessage="1" showDropDown="0" showInputMessage="1" allowBlank="1" prompt="Sélectionnez le type de produit" type="list" errorStyle="stop" operator="between">
      <formula1>$A$4:$A$18</formula1>
      <formula2>0</formula2>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2022-04-27T00:05:21Z</dcterms:created>
  <dcterms:modified xsi:type="dcterms:W3CDTF">2022-02-09T10:53:00Z</dcterms:modified>
  <cp:revision>2</cp:revision>
</cp:coreProperties>
</file>