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media/image4.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y order" sheetId="1" state="visible" r:id="rId2"/>
    <sheet name="Summary" sheetId="2" state="visible" r:id="rId3"/>
  </sheets>
  <definedNames>
    <definedName function="false" hidden="false" name="Airez" vbProcedure="false">'My order'!$C$259:$C$261</definedName>
    <definedName function="false" hidden="false" name="AirezKid" vbProcedure="false">'My order'!$H$259:$H$261</definedName>
    <definedName function="false" hidden="false" name="AirezMan" vbProcedure="false">'My order'!$F$259:$F$265</definedName>
    <definedName function="false" hidden="false" name="AirezWoman" vbProcedure="false">'My order'!$G$259:$G$263</definedName>
    <definedName function="false" hidden="false" name="Argia" vbProcedure="false">'My order'!$E$259:$E$260</definedName>
    <definedName function="false" hidden="false" name="ArgiaMan" vbProcedure="false">'My order'!$G$259:$G$263</definedName>
    <definedName function="false" hidden="false" name="ArgiaWoman" vbProcedure="false">'My order'!$G$273:$G$276</definedName>
    <definedName function="false" hidden="false" name="Azkar" vbProcedure="false">'My order'!$C$259:$C$261</definedName>
    <definedName function="false" hidden="false" name="AzkarKid" vbProcedure="false">'My order'!$H$259:$H$261</definedName>
    <definedName function="false" hidden="false" name="AzkarMan" vbProcedure="false">'My order'!$F$259:$F$265</definedName>
    <definedName function="false" hidden="false" name="AzkarWoman" vbProcedure="false">'My order'!$G$259:$G$263</definedName>
    <definedName function="false" hidden="false" name="Cap" vbProcedure="false">'My order'!$C$268:$C$272</definedName>
    <definedName function="false" hidden="false" name="CapBlack" vbProcedure="false">'My order'!$F$268</definedName>
    <definedName function="false" hidden="false" name="CapBlue" vbProcedure="false">'My order'!$F$268</definedName>
    <definedName function="false" hidden="false" name="CapGreen" vbProcedure="false">'My order'!$F$268</definedName>
    <definedName function="false" hidden="false" name="CapGrey" vbProcedure="false">'My order'!$F$268</definedName>
    <definedName function="false" hidden="false" name="CapPink" vbProcedure="false">'My order'!$F$268</definedName>
    <definedName function="false" hidden="false" name="Compression_Sleeves" vbProcedure="false">'My order'!$E$259:$E$260</definedName>
    <definedName function="false" hidden="false" name="Compression_SleevesMan" vbProcedure="false">'My order'!$J$259:$J$260</definedName>
    <definedName function="false" hidden="false" name="Compression_SleevesWoman" vbProcedure="false">'My order'!$J$259:$J$260</definedName>
    <definedName function="false" hidden="false" name="Compression_Top" vbProcedure="false">'My order'!$C$259:$C$261</definedName>
    <definedName function="false" hidden="false" name="Compression_TopKid" vbProcedure="false">'My order'!$H$259:$H$261</definedName>
    <definedName function="false" hidden="false" name="Compression_TopMan" vbProcedure="false">'My order'!$F$259:$F$265</definedName>
    <definedName function="false" hidden="false" name="Compression_TopWoman" vbProcedure="false">'My order'!$G$259:$G$263</definedName>
    <definedName function="false" hidden="false" name="Compression_Top_LongSleeves" vbProcedure="false">'My order'!$C$259:$C$261</definedName>
    <definedName function="false" hidden="false" name="Compression_Top_LongSleevesKid" vbProcedure="false">'My order'!$H$259:$H$261</definedName>
    <definedName function="false" hidden="false" name="Compression_Top_LongSleevesMan" vbProcedure="false">'My order'!$F$259:$F$265</definedName>
    <definedName function="false" hidden="false" name="Compression_Top_LongSleevesWoman" vbProcedure="false">'My order'!$G$259:$G$263</definedName>
    <definedName function="false" hidden="false" name="Dotoreak" vbProcedure="false">'My order'!$C$259:$C$261</definedName>
    <definedName function="false" hidden="false" name="DotoreakKid" vbProcedure="false">'My order'!$H$259:$H$261</definedName>
    <definedName function="false" hidden="false" name="DotoreakMan" vbProcedure="false">'My order'!$F$259:$F$265</definedName>
    <definedName function="false" hidden="false" name="DotoreakWoman" vbProcedure="false">'My order'!$G$259:$G$263</definedName>
    <definedName function="false" hidden="false" name="Epela" vbProcedure="false">'My order'!$C$259:$C$261</definedName>
    <definedName function="false" hidden="false" name="EpelaKid" vbProcedure="false">'My order'!$H$259:$H$261</definedName>
    <definedName function="false" hidden="false" name="EpelaMan" vbProcedure="false">'My order'!$F$259:$F$265</definedName>
    <definedName function="false" hidden="false" name="EpelaWoman" vbProcedure="false">'My order'!$G$259:$G$263</definedName>
    <definedName function="false" hidden="false" name="Erritmo" vbProcedure="false">'My order'!$C$259:$C$261</definedName>
    <definedName function="false" hidden="false" name="ErritmoKid" vbProcedure="false">'My order'!$H$259:$H$261</definedName>
    <definedName function="false" hidden="false" name="ErritmoMan" vbProcedure="false">'My order'!$F$259:$F$265</definedName>
    <definedName function="false" hidden="false" name="ErritmoWoman" vbProcedure="false">'My order'!$G$259:$G$263</definedName>
    <definedName function="false" hidden="false" name="Excel_BuiltIn__FilterDatabase" vbProcedure="false">'My order'!$A$29:$H$230</definedName>
    <definedName function="false" hidden="false" name="Flag" vbProcedure="false">'My order'!$D$268</definedName>
    <definedName function="false" hidden="false" name="FlagSublimated" vbProcedure="false">'My order'!$G$268:$G$269</definedName>
    <definedName function="false" hidden="false" name="Iribazi" vbProcedure="false">'My order'!$C$259:$C$261</definedName>
    <definedName function="false" hidden="false" name="IribaziKid" vbProcedure="false">'My order'!$H$259:$H$261</definedName>
    <definedName function="false" hidden="false" name="IribaziMan" vbProcedure="false">'My order'!$F$259:$F$265</definedName>
    <definedName function="false" hidden="false" name="IribaziWoman" vbProcedure="false">'My order'!$G$259:$G$263</definedName>
    <definedName function="false" hidden="false" name="Jauzi" vbProcedure="false">'My order'!$C$259:$C$261</definedName>
    <definedName function="false" hidden="false" name="JauziKid" vbProcedure="false">'My order'!$H$259:$H$261</definedName>
    <definedName function="false" hidden="false" name="JauziMan" vbProcedure="false">'My order'!$F$259:$F$265</definedName>
    <definedName function="false" hidden="false" name="JauziWoman" vbProcedure="false">'My order'!$G$259:$G$263</definedName>
    <definedName function="false" hidden="false" name="Kanpaia" vbProcedure="false">'My order'!$E$259:$E$260</definedName>
    <definedName function="false" hidden="false" name="KanpaiaMan" vbProcedure="false">'My order'!$G$259:$G$263</definedName>
    <definedName function="false" hidden="false" name="KanpaiaWoman" vbProcedure="false">'My order'!$G$273:$G$276</definedName>
    <definedName function="false" hidden="false" name="Ohiko" vbProcedure="false">'My order'!$C$259:$C$261</definedName>
    <definedName function="false" hidden="false" name="OhikoKid" vbProcedure="false">'My order'!$H$259:$H$261</definedName>
    <definedName function="false" hidden="false" name="OhikoMan" vbProcedure="false">'My order'!$F$259:$F$265</definedName>
    <definedName function="false" hidden="false" name="OhikoWoman" vbProcedure="false">'My order'!$G$259:$G$263</definedName>
    <definedName function="false" hidden="false" name="Short" vbProcedure="false">'My order'!$D$259:$D$260</definedName>
    <definedName function="false" hidden="false" name="ShortLong" vbProcedure="false">'My order'!$I$259:$I$266</definedName>
    <definedName function="false" hidden="false" name="ShortMultisport" vbProcedure="false">'My order'!$I$259:$I$266</definedName>
    <definedName function="false" hidden="false" name="Tank" vbProcedure="false">'My order'!$C$259:$C$261</definedName>
    <definedName function="false" hidden="false" name="TankKid" vbProcedure="false">'My order'!$H$259:$H$261</definedName>
    <definedName function="false" hidden="false" name="TankMan" vbProcedure="false">'My order'!$F$259:$F$265</definedName>
    <definedName function="false" hidden="false" name="TankWoman" vbProcedure="false">'My order'!$G$259:$G$263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<sst xmlns="http://schemas.openxmlformats.org/spreadsheetml/2006/main" count="408" uniqueCount="324">
  <si>
    <t xml:space="preserve">English</t>
  </si>
  <si>
    <t xml:space="preserve">Afghanistan</t>
  </si>
  <si>
    <t xml:space="preserve">Albania</t>
  </si>
  <si>
    <t xml:space="preserve">Algeria</t>
  </si>
  <si>
    <t xml:space="preserve">American Samoa</t>
  </si>
  <si>
    <t xml:space="preserve">Andorra</t>
  </si>
  <si>
    <t xml:space="preserve">Angola</t>
  </si>
  <si>
    <t xml:space="preserve">Anguilla</t>
  </si>
  <si>
    <t xml:space="preserve">Jonas</t>
  </si>
  <si>
    <t xml:space="preserve">Address</t>
  </si>
  <si>
    <t xml:space="preserve">Große Straße 8</t>
  </si>
  <si>
    <t xml:space="preserve">Antarctica</t>
  </si>
  <si>
    <t xml:space="preserve">Sitzmann</t>
  </si>
  <si>
    <t xml:space="preserve">Postcode</t>
  </si>
  <si>
    <t xml:space="preserve">Antigua and Barbuda</t>
  </si>
  <si>
    <t xml:space="preserve">Rotpot</t>
  </si>
  <si>
    <t xml:space="preserve">City</t>
  </si>
  <si>
    <t xml:space="preserve">Braunschweig</t>
  </si>
  <si>
    <t xml:space="preserve">Argentina</t>
  </si>
  <si>
    <t xml:space="preserve">Email</t>
  </si>
  <si>
    <t xml:space="preserve">jonasitzmann@hotmail.de</t>
  </si>
  <si>
    <t xml:space="preserve">Country</t>
  </si>
  <si>
    <t xml:space="preserve">Germany</t>
  </si>
  <si>
    <t xml:space="preserve">Armenia</t>
  </si>
  <si>
    <t xml:space="preserve">Mobile</t>
  </si>
  <si>
    <t xml:space="preserve">+4915780439877</t>
  </si>
  <si>
    <t xml:space="preserve">Telephone</t>
  </si>
  <si>
    <t xml:space="preserve">Aruba</t>
  </si>
  <si>
    <t xml:space="preserve">Australia</t>
  </si>
  <si>
    <t xml:space="preserve">Austria</t>
  </si>
  <si>
    <t xml:space="preserve">Marcel</t>
  </si>
  <si>
    <t xml:space="preserve">Schölkestr. 22</t>
  </si>
  <si>
    <t xml:space="preserve">Azerbaijan</t>
  </si>
  <si>
    <t xml:space="preserve">Klinge</t>
  </si>
  <si>
    <t xml:space="preserve">Bahamas</t>
  </si>
  <si>
    <t xml:space="preserve">+4917663374541</t>
  </si>
  <si>
    <t xml:space="preserve">Bahrain</t>
  </si>
  <si>
    <t xml:space="preserve">Bangladesh</t>
  </si>
  <si>
    <t xml:space="preserve">Barbados</t>
  </si>
  <si>
    <t xml:space="preserve">Belarus</t>
  </si>
  <si>
    <t xml:space="preserve">Belgium</t>
  </si>
  <si>
    <t xml:space="preserve">Belize</t>
  </si>
  <si>
    <t xml:space="preserve">Benin</t>
  </si>
  <si>
    <t xml:space="preserve">Total *</t>
  </si>
  <si>
    <t xml:space="preserve">Bermuda</t>
  </si>
  <si>
    <t xml:space="preserve">Bhutan</t>
  </si>
  <si>
    <t xml:space="preserve">Bolivia</t>
  </si>
  <si>
    <t xml:space="preserve">Bosnia and Herzegovina</t>
  </si>
  <si>
    <t xml:space="preserve">No</t>
  </si>
  <si>
    <t xml:space="preserve">Botswana</t>
  </si>
  <si>
    <t xml:space="preserve">Ohiko</t>
  </si>
  <si>
    <t xml:space="preserve">Man</t>
  </si>
  <si>
    <t xml:space="preserve">XL</t>
  </si>
  <si>
    <t xml:space="preserve">Marc</t>
  </si>
  <si>
    <t xml:space="preserve">without number</t>
  </si>
  <si>
    <t xml:space="preserve"> </t>
  </si>
  <si>
    <t xml:space="preserve">Brazil</t>
  </si>
  <si>
    <t xml:space="preserve">Brunei Darussalam</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</si>
  <si>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</si>
  <si>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</si>
  <si>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</si>
  <si>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</si>
  <si>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</si>
  <si>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</si>
  <si>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</si>
  <si>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</si>
  <si>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</si>
  <si>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</si>
  <si>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</si>
  <si>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</si>
  <si>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Colombia</t>
  </si>
  <si>
    <t xml:space="preserve">Comoros</t>
  </si>
  <si>
    <t xml:space="preserve">Congo</t>
  </si>
  <si>
    <t xml:space="preserve">Congo, The Democratic Republic of The</t>
  </si>
  <si>
    <t xml:space="preserve">Cook Islands</t>
  </si>
  <si>
    <t xml:space="preserve">Costa Rica</t>
  </si>
  <si>
    <t xml:space="preserve">Cote D'ivoire</t>
  </si>
  <si>
    <t xml:space="preserve">Croatia</t>
  </si>
  <si>
    <t xml:space="preserve">Cuba</t>
  </si>
  <si>
    <t xml:space="preserve">Cyprus</t>
  </si>
  <si>
    <t xml:space="preserve">Czech Republic</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</si>
  <si>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</si>
  <si>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</si>
  <si>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</si>
  <si>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</si>
  <si>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</si>
  <si>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</si>
  <si>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</si>
  <si>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</si>
  <si>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</si>
  <si>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</si>
  <si>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</si>
  <si>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Falkland Islands (Malvinas)</t>
  </si>
  <si>
    <t xml:space="preserve">Faroe Islands</t>
  </si>
  <si>
    <t xml:space="preserve">Fiji</t>
  </si>
  <si>
    <t xml:space="preserve">Finland</t>
  </si>
  <si>
    <t xml:space="preserve">France</t>
  </si>
  <si>
    <t xml:space="preserve">French Guiana</t>
  </si>
  <si>
    <t xml:space="preserve">French Polynesia</t>
  </si>
  <si>
    <t xml:space="preserve">French Southern Territories</t>
  </si>
  <si>
    <t xml:space="preserve">Gabon</t>
  </si>
  <si>
    <t xml:space="preserve">Gambia</t>
  </si>
  <si>
    <t xml:space="preserve">Georgia</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</si>
  <si>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</si>
  <si>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</si>
  <si>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</si>
  <si>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</si>
  <si>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</si>
  <si>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</si>
  <si>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</si>
  <si>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</si>
  <si>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</si>
  <si>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</si>
  <si>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</si>
  <si>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</si>
  <si>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</si>
  <si>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 (Vatican City State)</t>
  </si>
  <si>
    <t xml:space="preserve">Honduras</t>
  </si>
  <si>
    <t xml:space="preserve">Hong Kong</t>
  </si>
  <si>
    <t xml:space="preserve">Hungary</t>
  </si>
  <si>
    <t xml:space="preserve">Iceland</t>
  </si>
  <si>
    <t xml:space="preserve">India</t>
  </si>
  <si>
    <t xml:space="preserve">Indonesia</t>
  </si>
  <si>
    <t xml:space="preserve">Iran, Islamic Republic of</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</si>
  <si>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</si>
  <si>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</si>
  <si>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</si>
  <si>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</si>
  <si>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</si>
  <si>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</si>
  <si>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</si>
  <si>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</si>
  <si>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</si>
  <si>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</si>
  <si>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</si>
  <si>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</si>
  <si>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Democratic People's Republic of</t>
  </si>
  <si>
    <t xml:space="preserve">Korea, Republic of</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</si>
  <si>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</si>
  <si>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</si>
  <si>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</si>
  <si>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</si>
  <si>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</si>
  <si>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</si>
  <si>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</si>
  <si>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Libyan Arab Jamahiriya</t>
  </si>
  <si>
    <t xml:space="preserve">Liechtenstein</t>
  </si>
  <si>
    <t xml:space="preserve">Lithuania</t>
  </si>
  <si>
    <t xml:space="preserve">Luxembourg</t>
  </si>
  <si>
    <t xml:space="preserve">Macao</t>
  </si>
  <si>
    <t xml:space="preserve">Macedonia, The Former Yugoslav Republic of</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</si>
  <si>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</si>
  <si>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</si>
  <si>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</si>
  <si>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</si>
  <si>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</si>
  <si>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</si>
  <si>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</si>
  <si>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</si>
  <si>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</si>
  <si>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</si>
  <si>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</si>
  <si>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</si>
  <si>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</si>
  <si>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Moldova, Republic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</si>
  <si>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</si>
  <si>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</si>
  <si>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</si>
  <si>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</si>
  <si>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</si>
  <si>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</si>
  <si>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</si>
  <si>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</si>
  <si>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</si>
  <si>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</si>
  <si>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</si>
  <si>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</si>
  <si>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</si>
  <si>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</si>
  <si>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</si>
  <si>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</si>
  <si>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</si>
  <si>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</si>
  <si>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</si>
  <si>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Irland</t>
  </si>
  <si>
    <t xml:space="preserve">Northern Mariana Islands</t>
  </si>
  <si>
    <t xml:space="preserve">Norway</t>
  </si>
  <si>
    <t xml:space="preserve">Oman</t>
  </si>
  <si>
    <t xml:space="preserve">Pakistan</t>
  </si>
  <si>
    <t xml:space="preserve">Palau</t>
  </si>
  <si>
    <t xml:space="preserve">Palestinian Territory, Occupied</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</si>
  <si>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</si>
  <si>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</si>
  <si>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</si>
  <si>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</si>
  <si>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</si>
  <si>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</si>
  <si>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</si>
  <si>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</si>
  <si>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</si>
  <si>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</si>
  <si>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</si>
  <si>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</si>
  <si>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Russian Federation</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</si>
  <si>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</si>
  <si>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</si>
  <si>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</si>
  <si>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</si>
  <si>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</si>
  <si>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</si>
  <si>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</si>
  <si>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</si>
  <si>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</si>
  <si>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</si>
  <si>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</si>
  <si>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</si>
  <si>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</si>
  <si>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</si>
  <si>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</si>
  <si>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</si>
  <si>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</si>
  <si>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</si>
  <si>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</si>
  <si>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</si>
  <si>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Georgia and The South Sandwich Islands</t>
  </si>
  <si>
    <t xml:space="preserve">Spain</t>
  </si>
  <si>
    <t xml:space="preserve">Sri Lanka</t>
  </si>
  <si>
    <t xml:space="preserve">Sudan</t>
  </si>
  <si>
    <t xml:space="preserve">Suriname</t>
  </si>
  <si>
    <t xml:space="preserve">Svalbard and Jan Mayen</t>
  </si>
  <si>
    <t xml:space="preserve">Swaziland</t>
  </si>
  <si>
    <t xml:space="preserve">Sweden</t>
  </si>
  <si>
    <t xml:space="preserve">Switzerland</t>
  </si>
  <si>
    <t xml:space="preserve">Syrian Arab Republic</t>
  </si>
  <si>
    <t xml:space="preserve">Taiwan, Province of China</t>
  </si>
  <si>
    <t xml:space="preserve">Tajikistan</t>
  </si>
  <si>
    <t xml:space="preserve">Tanzania, United Republic of</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</si>
  <si>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</si>
  <si>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</si>
  <si>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</si>
  <si>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</si>
  <si>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</si>
  <si>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</si>
  <si>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</si>
  <si>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</si>
  <si>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</si>
  <si>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</si>
  <si>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</si>
  <si>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</si>
  <si>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</si>
  <si>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</si>
  <si>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</si>
  <si>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</si>
  <si>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United States Minor Outlying Islands</t>
  </si>
  <si>
    <t xml:space="preserve">Uruguay</t>
  </si>
  <si>
    <t xml:space="preserve">Uzbekistan</t>
  </si>
  <si>
    <t xml:space="preserve">Vanuatu</t>
  </si>
  <si>
    <t xml:space="preserve">Venezuela</t>
  </si>
  <si>
    <t xml:space="preserve">Viet Nam</t>
  </si>
  <si>
    <t xml:space="preserve">Virgin Islands, British</t>
  </si>
  <si>
    <t xml:space="preserve">Virgin Islands, U.S.</t>
  </si>
  <si>
    <t xml:space="preserve">Wallis and Futuna</t>
  </si>
  <si>
    <t xml:space="preserve">Western Sahara</t>
  </si>
  <si>
    <t xml:space="preserve">Yemen</t>
  </si>
  <si>
    <t xml:space="preserve">Zambia</t>
  </si>
  <si>
    <t xml:space="preserve">Zimbabwe</t>
  </si>
  <si>
    <t xml:space="preserve">Type</t>
  </si>
  <si>
    <t xml:space="preserve">Gender Shirt</t>
  </si>
  <si>
    <t xml:space="preserve">Gender Short</t>
  </si>
  <si>
    <t xml:space="preserve">Gender No Kids</t>
  </si>
  <si>
    <t xml:space="preserve">Size Male</t>
  </si>
  <si>
    <t xml:space="preserve">Size Female</t>
  </si>
  <si>
    <t xml:space="preserve">Size Kid</t>
  </si>
  <si>
    <t xml:space="preserve">Size Short</t>
  </si>
  <si>
    <t xml:space="preserve">Size Sleeves</t>
  </si>
  <si>
    <t xml:space="preserve">Airez</t>
  </si>
  <si>
    <t xml:space="preserve">Long</t>
  </si>
  <si>
    <t xml:space="preserve">XS</t>
  </si>
  <si>
    <t xml:space="preserve">S</t>
  </si>
  <si>
    <t xml:space="preserve">S-M</t>
  </si>
  <si>
    <t xml:space="preserve">Argia</t>
  </si>
  <si>
    <t xml:space="preserve">Woman</t>
  </si>
  <si>
    <t xml:space="preserve">Multisport</t>
  </si>
  <si>
    <t xml:space="preserve">M</t>
  </si>
  <si>
    <t xml:space="preserve">L-XL</t>
  </si>
  <si>
    <t xml:space="preserve">Azkar</t>
  </si>
  <si>
    <t xml:space="preserve">Kid</t>
  </si>
  <si>
    <t xml:space="preserve">Rugby</t>
  </si>
  <si>
    <t xml:space="preserve">L</t>
  </si>
  <si>
    <t xml:space="preserve">Dotoreak</t>
  </si>
  <si>
    <t xml:space="preserve">Epela</t>
  </si>
  <si>
    <t xml:space="preserve">XXL</t>
  </si>
  <si>
    <t xml:space="preserve">Erritmo</t>
  </si>
  <si>
    <t xml:space="preserve">Iribazi</t>
  </si>
  <si>
    <t xml:space="preserve">XXXL</t>
  </si>
  <si>
    <t xml:space="preserve">Jauzi</t>
  </si>
  <si>
    <t xml:space="preserve">Kanpaia</t>
  </si>
  <si>
    <t xml:space="preserve">Type Cap</t>
  </si>
  <si>
    <t xml:space="preserve">Type Flag</t>
  </si>
  <si>
    <t xml:space="preserve">Size Cap</t>
  </si>
  <si>
    <t xml:space="preserve">Size Flag</t>
  </si>
  <si>
    <t xml:space="preserve">Black</t>
  </si>
  <si>
    <t xml:space="preserve">Sublimated</t>
  </si>
  <si>
    <t xml:space="preserve">onesize</t>
  </si>
  <si>
    <t xml:space="preserve">150x85</t>
  </si>
  <si>
    <t xml:space="preserve">Tank</t>
  </si>
  <si>
    <t xml:space="preserve">Blue</t>
  </si>
  <si>
    <t xml:space="preserve">134x123</t>
  </si>
  <si>
    <t xml:space="preserve">Short</t>
  </si>
  <si>
    <t xml:space="preserve">Green</t>
  </si>
  <si>
    <t xml:space="preserve">Compression_Sleeves</t>
  </si>
  <si>
    <t xml:space="preserve">Grey</t>
  </si>
  <si>
    <t xml:space="preserve">Compression_Top</t>
  </si>
  <si>
    <t xml:space="preserve">Pink</t>
  </si>
  <si>
    <t xml:space="preserve">Size Hoodie Female</t>
  </si>
  <si>
    <t xml:space="preserve">Compression_Top_LongSleeves</t>
  </si>
  <si>
    <t xml:space="preserve">Cap</t>
  </si>
  <si>
    <t xml:space="preserve">Flag</t>
  </si>
  <si>
    <t xml:space="preserve">Compression Top</t>
  </si>
  <si>
    <t xml:space="preserve">Compression Top Long Sleeves</t>
  </si>
  <si>
    <t xml:space="preserve">Shorts</t>
  </si>
  <si>
    <t xml:space="preserve">Shorts Long</t>
  </si>
  <si>
    <t xml:space="preserve">Shorts Multisport</t>
  </si>
  <si>
    <t xml:space="preserve">Total Shorts</t>
  </si>
</sst>
</file>

<file path=xl/styles.xml><?xml version="1.0" encoding="utf-8"?>
<styleSheet xmlns="http://schemas.openxmlformats.org/spreadsheetml/2006/main">
  <numFmts count="3">
    <numFmt numFmtId="164" formatCode="General"/>
    <numFmt numFmtId="165" formatCode="General"/>
    <numFmt numFmtId="166" formatCode="@"/>
  </numFmts>
  <fonts count="15">
    <font>
      <sz val="10"/>
      <name val="Arial"/>
      <family val="2"/>
      <charset val="1"/>
    </font>
    <font>
      <sz val="10"/>
      <name val="Arial"/>
      <family val="0"/>
    </font>
    <font>
      <sz val="10"/>
      <name val="Arial"/>
      <family val="0"/>
    </font>
    <font>
      <sz val="10"/>
      <name val="Arial"/>
      <family val="0"/>
    </font>
    <font>
      <b val="true"/>
      <sz val="16"/>
      <color rgb="FFFFFFFF"/>
      <name val="Arial"/>
      <family val="2"/>
      <charset val="1"/>
    </font>
    <font>
      <b val="true"/>
      <sz val="11"/>
      <color rgb="FFDD0806"/>
      <name val="Arial"/>
      <family val="2"/>
      <charset val="1"/>
    </font>
    <font>
      <b val="true"/>
      <sz val="10"/>
      <color rgb="FFFFFFFF"/>
      <name val="Arial"/>
      <family val="2"/>
      <charset val="1"/>
    </font>
    <font>
      <sz val="10"/>
      <color rgb="FFFFFFFF"/>
      <name val="Arial"/>
      <family val="2"/>
      <charset val="1"/>
    </font>
    <font>
      <sz val="10"/>
      <color rgb="FF333399"/>
      <name val="Arial"/>
      <family val="2"/>
      <charset val="1"/>
    </font>
    <font>
      <u val="single"/>
      <sz val="10"/>
      <color rgb="FF0000D4"/>
      <name val="Arial"/>
      <family val="2"/>
      <charset val="1"/>
    </font>
    <font>
      <sz val="8"/>
      <color rgb="FFDD0806"/>
      <name val="Arial"/>
      <family val="2"/>
      <charset val="1"/>
    </font>
    <font>
      <b val="true"/>
      <sz val="10"/>
      <name val="Arial"/>
      <family val="2"/>
      <charset val="1"/>
    </font>
    <font>
      <b val="true"/>
      <sz val="26"/>
      <name val="Arial"/>
      <family val="2"/>
      <charset val="1"/>
    </font>
    <font>
      <b val="true"/>
      <sz val="11"/>
      <color rgb="FFFFFFFF"/>
      <name val="Arial"/>
      <family val="2"/>
      <charset val="1"/>
    </font>
    <font>
      <b val="true"/>
      <sz val="11"/>
      <color rgb="FF000000"/>
      <name val="Arial"/>
      <family val="2"/>
      <charset val="1"/>
    </font>
  </fonts>
  <fills count="7">
    <fill>
      <patternFill patternType="none"/>
    </fill>
    <fill>
      <patternFill patternType="gray125"/>
    </fill>
    <fill>
      <patternFill patternType="solid">
        <fgColor rgb="FF333399"/>
        <bgColor rgb="FF003366"/>
      </patternFill>
    </fill>
    <fill>
      <patternFill patternType="solid">
        <fgColor rgb="FF99CCFF"/>
        <bgColor rgb="FFCCCCFF"/>
      </patternFill>
    </fill>
    <fill>
      <patternFill patternType="solid">
        <fgColor rgb="FFFFFFFF"/>
        <bgColor rgb="FFFFFFCC"/>
      </patternFill>
    </fill>
    <fill>
      <patternFill patternType="solid">
        <fgColor rgb="FF808080"/>
        <bgColor rgb="FF969696"/>
      </patternFill>
    </fill>
    <fill>
      <patternFill patternType="solid">
        <fgColor rgb="FF33CCCC"/>
        <bgColor rgb="FF00CCFF"/>
      </patternFill>
    </fill>
  </fills>
  <borders count="14">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medium"/>
      <right style="thin"/>
      <top style="thin"/>
      <bottom style="thin"/>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5" fontId="0" fillId="4"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left" vertical="bottom" textRotation="0" wrapText="false" indent="0" shrinkToFit="false"/>
      <protection locked="true" hidden="false"/>
    </xf>
    <xf numFmtId="164" fontId="9" fillId="0" borderId="2" xfId="20" applyFont="true" applyBorder="true" applyAlignment="true" applyProtection="true">
      <alignment horizontal="center" vertical="bottom"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5" fontId="0" fillId="4" borderId="2"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5" fontId="6" fillId="2" borderId="2" xfId="0" applyFont="true" applyBorder="true" applyAlignment="true" applyProtection="false">
      <alignment horizontal="center"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5" fontId="6" fillId="3"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6" fontId="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true" indent="0" shrinkToFit="false"/>
      <protection locked="true" hidden="false"/>
    </xf>
    <xf numFmtId="165" fontId="8" fillId="0" borderId="5" xfId="0" applyFont="tru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justify"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3" fillId="2" borderId="2" xfId="0" applyFont="true" applyBorder="true" applyAlignment="true" applyProtection="false">
      <alignment horizontal="center" vertical="center" textRotation="0" wrapText="false" indent="0" shrinkToFit="false"/>
      <protection locked="true" hidden="false"/>
    </xf>
    <xf numFmtId="165" fontId="14" fillId="0" borderId="2"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5" fontId="6" fillId="2" borderId="2"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5" fontId="6" fillId="2" borderId="5" xfId="0" applyFont="true" applyBorder="true" applyAlignment="true" applyProtection="true">
      <alignment horizontal="center" vertical="bottom" textRotation="0" wrapText="false" indent="0" shrinkToFit="false"/>
      <protection locked="true" hidden="false"/>
    </xf>
    <xf numFmtId="165" fontId="11" fillId="3" borderId="2" xfId="0" applyFont="true" applyBorder="true" applyAlignment="true" applyProtection="true">
      <alignment horizontal="center" vertical="center" textRotation="0" wrapText="false" indent="0" shrinkToFit="false"/>
      <protection locked="true" hidden="true"/>
    </xf>
    <xf numFmtId="165" fontId="11" fillId="3" borderId="2"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1" fillId="3" borderId="2" xfId="0" applyFont="true" applyBorder="true" applyAlignment="true" applyProtection="true">
      <alignment horizontal="center" vertical="bottom" textRotation="0" wrapText="false" indent="0" shrinkToFit="false"/>
      <protection locked="true" hidden="true"/>
    </xf>
    <xf numFmtId="164" fontId="11" fillId="0" borderId="0" xfId="0" applyFont="true" applyBorder="true" applyAlignment="true" applyProtection="true">
      <alignment horizontal="center" vertical="bottom" textRotation="0" wrapText="false" indent="0" shrinkToFit="false"/>
      <protection locked="true" hidden="true"/>
    </xf>
    <xf numFmtId="164" fontId="0" fillId="0" borderId="2" xfId="0" applyFont="true" applyBorder="true" applyAlignment="true" applyProtection="true">
      <alignment horizontal="left" vertical="center" textRotation="0" wrapText="false" indent="0" shrinkToFit="false"/>
      <protection locked="true" hidden="true"/>
    </xf>
    <xf numFmtId="165" fontId="0" fillId="0" borderId="2" xfId="0" applyFont="fals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true" hidden="true"/>
    </xf>
    <xf numFmtId="164" fontId="0" fillId="5" borderId="2" xfId="0" applyFont="false" applyBorder="true" applyAlignment="true" applyProtection="false">
      <alignment horizontal="center" vertical="top" textRotation="0" wrapText="true" indent="0" shrinkToFit="false"/>
      <protection locked="true" hidden="false"/>
    </xf>
    <xf numFmtId="165" fontId="11" fillId="0" borderId="2" xfId="0" applyFont="true" applyBorder="true" applyAlignment="false" applyProtection="false">
      <alignment horizontal="general" vertical="bottom" textRotation="0" wrapText="false" indent="0" shrinkToFit="false"/>
      <protection locked="true" hidden="false"/>
    </xf>
    <xf numFmtId="165" fontId="11" fillId="3" borderId="2"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5" fontId="11" fillId="3" borderId="2" xfId="0" applyFont="true" applyBorder="true" applyAlignment="false" applyProtection="true">
      <alignment horizontal="general" vertical="bottom" textRotation="0" wrapText="false" indent="0" shrinkToFit="false"/>
      <protection locked="true" hidden="true"/>
    </xf>
    <xf numFmtId="164" fontId="6" fillId="2" borderId="2" xfId="0" applyFont="true" applyBorder="true" applyAlignment="true" applyProtection="true">
      <alignment horizontal="center" vertical="bottom" textRotation="0" wrapText="false" indent="0" shrinkToFit="false"/>
      <protection locked="true" hidden="false"/>
    </xf>
    <xf numFmtId="165" fontId="11" fillId="3" borderId="11" xfId="0" applyFont="true" applyBorder="true" applyAlignment="true" applyProtection="true">
      <alignment horizontal="center" vertical="center" textRotation="0" wrapText="false" indent="0" shrinkToFit="false"/>
      <protection locked="true" hidden="true"/>
    </xf>
    <xf numFmtId="164" fontId="11" fillId="3" borderId="7" xfId="0" applyFont="true" applyBorder="true" applyAlignment="true" applyProtection="true">
      <alignment horizontal="center" vertical="bottom" textRotation="0" wrapText="false" indent="0" shrinkToFit="false"/>
      <protection locked="true" hidden="true"/>
    </xf>
    <xf numFmtId="165" fontId="11" fillId="0" borderId="2" xfId="0" applyFont="true" applyBorder="true" applyAlignment="true" applyProtection="true">
      <alignment horizontal="center" vertical="bottom" textRotation="0" wrapText="false" indent="0" shrinkToFit="false"/>
      <protection locked="true" hidden="false"/>
    </xf>
    <xf numFmtId="165" fontId="0" fillId="0" borderId="12" xfId="0" applyFont="false" applyBorder="true" applyAlignment="true" applyProtection="false">
      <alignment horizontal="center" vertical="top" textRotation="0" wrapText="true" indent="0" shrinkToFit="false"/>
      <protection locked="true" hidden="false"/>
    </xf>
    <xf numFmtId="165" fontId="11" fillId="3" borderId="13" xfId="0" applyFont="true" applyBorder="true" applyAlignment="false" applyProtection="true">
      <alignment horizontal="general" vertical="bottom" textRotation="0" wrapText="false" indent="0" shrinkToFit="false"/>
      <protection locked="true" hidden="true"/>
    </xf>
    <xf numFmtId="164" fontId="11" fillId="0" borderId="0" xfId="0" applyFont="true" applyBorder="true" applyAlignment="false" applyProtection="true">
      <alignment horizontal="general" vertical="bottom" textRotation="0" wrapText="false" indent="0" shrinkToFit="false"/>
      <protection locked="true" hidden="true"/>
    </xf>
    <xf numFmtId="164" fontId="6"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5" fontId="11" fillId="6" borderId="13" xfId="0" applyFont="true" applyBorder="true" applyAlignment="false" applyProtection="true">
      <alignment horizontal="general" vertical="bottom" textRotation="0" wrapText="false" indent="0" shrinkToFit="false"/>
      <protection locked="true" hidden="true"/>
    </xf>
    <xf numFmtId="165" fontId="11" fillId="6" borderId="2"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DD0806"/>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476280</xdr:colOff>
      <xdr:row>1</xdr:row>
      <xdr:rowOff>9360</xdr:rowOff>
    </xdr:from>
    <xdr:to>
      <xdr:col>6</xdr:col>
      <xdr:colOff>1293840</xdr:colOff>
      <xdr:row>4</xdr:row>
      <xdr:rowOff>160200</xdr:rowOff>
    </xdr:to>
    <xdr:pic>
      <xdr:nvPicPr>
        <xdr:cNvPr id="0" name="Picture 1" descr=""/>
        <xdr:cNvPicPr/>
      </xdr:nvPicPr>
      <xdr:blipFill>
        <a:blip r:embed="rId1"/>
        <a:stretch/>
      </xdr:blipFill>
      <xdr:spPr>
        <a:xfrm>
          <a:off x="756720" y="171000"/>
          <a:ext cx="8175960" cy="6368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876240</xdr:colOff>
      <xdr:row>1</xdr:row>
      <xdr:rowOff>0</xdr:rowOff>
    </xdr:from>
    <xdr:to>
      <xdr:col>12</xdr:col>
      <xdr:colOff>131760</xdr:colOff>
      <xdr:row>4</xdr:row>
      <xdr:rowOff>150840</xdr:rowOff>
    </xdr:to>
    <xdr:pic>
      <xdr:nvPicPr>
        <xdr:cNvPr id="1" name="Picture 1" descr=""/>
        <xdr:cNvPicPr/>
      </xdr:nvPicPr>
      <xdr:blipFill>
        <a:blip r:embed="rId1"/>
        <a:stretch/>
      </xdr:blipFill>
      <xdr:spPr>
        <a:xfrm>
          <a:off x="1523880" y="161640"/>
          <a:ext cx="9177120" cy="6368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BB277"/>
  <sheetViews>
    <sheetView showFormulas="false" showGridLines="true" showRowColHeaders="true" showZeros="true" rightToLeft="false" tabSelected="true" showOutlineSymbols="true" defaultGridColor="true" view="normal" topLeftCell="A18" colorId="64" zoomScale="130" zoomScaleNormal="130" zoomScalePageLayoutView="100" workbookViewId="0">
      <selection pane="topLeft" activeCell="C16" activeCellId="0" sqref="C16:H18"/>
    </sheetView>
  </sheetViews>
  <sheetFormatPr defaultColWidth="9.19140625" defaultRowHeight="12.75" zeroHeight="false" outlineLevelRow="0" outlineLevelCol="0"/>
  <cols>
    <col collapsed="false" customWidth="true" hidden="false" outlineLevel="0" max="1" min="1" style="0" width="3.98"/>
    <col collapsed="false" customWidth="true" hidden="false" outlineLevel="0" max="2" min="2" style="0" width="38.57"/>
    <col collapsed="false" customWidth="true" hidden="false" outlineLevel="0" max="3" min="3" style="0" width="10.99"/>
    <col collapsed="false" customWidth="true" hidden="false" outlineLevel="0" max="4" min="4" style="0" width="12.29"/>
    <col collapsed="false" customWidth="true" hidden="false" outlineLevel="0" max="5" min="5" style="0" width="29.86"/>
    <col collapsed="false" customWidth="true" hidden="false" outlineLevel="0" max="6" min="6" style="0" width="12.57"/>
    <col collapsed="false" customWidth="true" hidden="false" outlineLevel="0" max="7" min="7" style="0" width="25.14"/>
    <col collapsed="false" customWidth="true" hidden="false" outlineLevel="0" max="8" min="8" style="0" width="22.57"/>
    <col collapsed="false" customWidth="true" hidden="false" outlineLevel="0" max="9" min="9" style="0" width="17.59"/>
    <col collapsed="false" customWidth="true" hidden="false" outlineLevel="0" max="10" min="10" style="0" width="29.57"/>
    <col collapsed="false" customWidth="true" hidden="false" outlineLevel="0" max="11" min="11" style="0" width="3.14"/>
    <col collapsed="false" customWidth="true" hidden="false" outlineLevel="0" max="12" min="12" style="0" width="24"/>
    <col collapsed="false" customWidth="true" hidden="false" outlineLevel="0" max="13" min="13" style="0" width="3.3"/>
    <col collapsed="false" customWidth="true" hidden="false" outlineLevel="0" max="14" min="14" style="0" width="2.31"/>
    <col collapsed="false" customWidth="true" hidden="false" outlineLevel="0" max="15" min="15" style="0" width="2.57"/>
    <col collapsed="false" customWidth="true" hidden="false" outlineLevel="0" max="16" min="16" style="0" width="2"/>
    <col collapsed="false" customWidth="true" hidden="false" outlineLevel="0" max="17" min="17" style="0" width="2.99"/>
    <col collapsed="false" customWidth="true" hidden="false" outlineLevel="0" max="18" min="18" style="0" width="3.98"/>
  </cols>
  <sheetData>
    <row r="1" customFormat="false" ht="12.75" hidden="false" customHeight="false" outlineLevel="0" collapsed="false">
      <c r="B1" s="1"/>
      <c r="C1" s="1"/>
      <c r="D1" s="1"/>
      <c r="E1" s="1"/>
      <c r="F1" s="1"/>
      <c r="G1" s="1"/>
      <c r="H1" s="1"/>
    </row>
    <row r="2" customFormat="false" ht="12.75" hidden="false" customHeight="false" outlineLevel="0" collapsed="false">
      <c r="B2" s="2"/>
      <c r="C2" s="2"/>
      <c r="D2" s="2"/>
      <c r="E2" s="2"/>
      <c r="F2" s="2"/>
      <c r="G2" s="2"/>
      <c r="H2" s="3" t="s">
        <v>0</v>
      </c>
      <c r="BB2" s="0" t="s">
        <v>1</v>
      </c>
    </row>
    <row r="3" customFormat="false" ht="12.75" hidden="false" customHeight="false" outlineLevel="0" collapsed="false">
      <c r="B3" s="2"/>
      <c r="C3" s="2"/>
      <c r="D3" s="2"/>
      <c r="E3" s="2"/>
      <c r="F3" s="2"/>
      <c r="G3" s="2"/>
      <c r="H3" s="3"/>
      <c r="BB3" s="0" t="s">
        <v>2</v>
      </c>
    </row>
    <row r="4" customFormat="false" ht="12.75" hidden="false" customHeight="false" outlineLevel="0" collapsed="false">
      <c r="B4" s="2"/>
      <c r="C4" s="2"/>
      <c r="D4" s="2"/>
      <c r="E4" s="2"/>
      <c r="F4" s="2"/>
      <c r="G4" s="2"/>
      <c r="H4" s="3"/>
      <c r="BB4" s="0" t="s">
        <v>3</v>
      </c>
    </row>
    <row r="5" customFormat="false" ht="12.75" hidden="false" customHeight="false" outlineLevel="0" collapsed="false">
      <c r="B5" s="2"/>
      <c r="C5" s="2"/>
      <c r="D5" s="2"/>
      <c r="E5" s="2"/>
      <c r="F5" s="2"/>
      <c r="G5" s="2"/>
      <c r="H5" s="3"/>
      <c r="BB5" s="0" t="s">
        <v>4</v>
      </c>
    </row>
    <row r="6" customFormat="false" ht="15" hidden="false" customHeight="false" outlineLevel="0" collapsed="false">
      <c r="B6" s="1"/>
      <c r="C6" s="1"/>
      <c r="D6" s="1"/>
      <c r="E6" s="1"/>
      <c r="F6" s="1"/>
      <c r="G6" s="4" t="str">
        <f aca="false">IF('My order'!H2="English","Changez le langage à côté du logo Force","Change the language next to the Force Logo")</f>
        <v>Changez le langage à côté du logo Force</v>
      </c>
      <c r="BB6" s="0" t="s">
        <v>5</v>
      </c>
    </row>
    <row r="7" customFormat="false" ht="12.75" hidden="false" customHeight="false" outlineLevel="0" collapsed="false">
      <c r="B7" s="5"/>
      <c r="C7" s="5"/>
      <c r="D7" s="5"/>
      <c r="E7" s="5"/>
      <c r="F7" s="5"/>
      <c r="G7" s="5"/>
      <c r="H7" s="5"/>
      <c r="BB7" s="0" t="s">
        <v>6</v>
      </c>
    </row>
    <row r="8" customFormat="false" ht="12.75" hidden="false" customHeight="false" outlineLevel="0" collapsed="false">
      <c r="B8" s="6" t="str">
        <f aca="false">IF('My order'!H2="English","Contact Info","Info du Contact")</f>
        <v>Contact Info</v>
      </c>
      <c r="C8" s="7"/>
      <c r="D8" s="7"/>
      <c r="E8" s="7"/>
      <c r="F8" s="7"/>
      <c r="G8" s="7"/>
      <c r="H8" s="7"/>
      <c r="I8" s="8"/>
      <c r="BB8" s="0" t="s">
        <v>7</v>
      </c>
    </row>
    <row r="9" customFormat="false" ht="12.8" hidden="false" customHeight="false" outlineLevel="0" collapsed="false">
      <c r="B9" s="9" t="str">
        <f aca="false">IF(H2="English","First Name","Prénom")</f>
        <v>First Name</v>
      </c>
      <c r="C9" s="10" t="s">
        <v>8</v>
      </c>
      <c r="D9" s="10"/>
      <c r="E9" s="10"/>
      <c r="F9" s="9" t="s">
        <v>9</v>
      </c>
      <c r="G9" s="10" t="s">
        <v>10</v>
      </c>
      <c r="H9" s="10"/>
      <c r="I9" s="11" t="str">
        <f aca="false">IF('My order'!H2="English","Please, type in your details","Merci de remplir vos infos de contact")</f>
        <v>Please, type in your details</v>
      </c>
      <c r="J9" s="11"/>
      <c r="K9" s="11"/>
      <c r="BB9" s="0" t="s">
        <v>11</v>
      </c>
    </row>
    <row r="10" customFormat="false" ht="12.8" hidden="false" customHeight="false" outlineLevel="0" collapsed="false">
      <c r="B10" s="9" t="str">
        <f aca="false">IF(H2="English","Last Name","Nom")</f>
        <v>Last Name</v>
      </c>
      <c r="C10" s="10" t="s">
        <v>12</v>
      </c>
      <c r="D10" s="10"/>
      <c r="E10" s="10"/>
      <c r="F10" s="12" t="s">
        <v>13</v>
      </c>
      <c r="G10" s="10" t="n">
        <v>38116</v>
      </c>
      <c r="H10" s="10"/>
      <c r="I10" s="11"/>
      <c r="J10" s="11"/>
      <c r="K10" s="11"/>
      <c r="BB10" s="0" t="s">
        <v>14</v>
      </c>
    </row>
    <row r="11" customFormat="false" ht="12.8" hidden="false" customHeight="false" outlineLevel="0" collapsed="false">
      <c r="B11" s="9" t="str">
        <f aca="false">IF(H2="English","Team Name","Nom d'équipe")</f>
        <v>Team Name</v>
      </c>
      <c r="C11" s="10" t="s">
        <v>15</v>
      </c>
      <c r="D11" s="10"/>
      <c r="E11" s="10"/>
      <c r="F11" s="12" t="s">
        <v>16</v>
      </c>
      <c r="G11" s="10" t="s">
        <v>17</v>
      </c>
      <c r="H11" s="10"/>
      <c r="I11" s="11"/>
      <c r="J11" s="11"/>
      <c r="K11" s="11"/>
      <c r="BB11" s="0" t="s">
        <v>18</v>
      </c>
    </row>
    <row r="12" customFormat="false" ht="12.8" hidden="false" customHeight="false" outlineLevel="0" collapsed="false">
      <c r="B12" s="9" t="s">
        <v>19</v>
      </c>
      <c r="C12" s="13" t="s">
        <v>20</v>
      </c>
      <c r="D12" s="13"/>
      <c r="E12" s="13"/>
      <c r="F12" s="12" t="s">
        <v>21</v>
      </c>
      <c r="G12" s="10" t="s">
        <v>22</v>
      </c>
      <c r="H12" s="10"/>
      <c r="I12" s="11"/>
      <c r="J12" s="11"/>
      <c r="K12" s="11"/>
      <c r="BB12" s="0" t="s">
        <v>23</v>
      </c>
    </row>
    <row r="13" customFormat="false" ht="12.8" hidden="false" customHeight="false" outlineLevel="0" collapsed="false">
      <c r="B13" s="9" t="s">
        <v>24</v>
      </c>
      <c r="C13" s="14" t="s">
        <v>25</v>
      </c>
      <c r="D13" s="14"/>
      <c r="E13" s="14"/>
      <c r="F13" s="15" t="s">
        <v>26</v>
      </c>
      <c r="G13" s="16" t="s">
        <v>25</v>
      </c>
      <c r="H13" s="16"/>
      <c r="I13" s="11"/>
      <c r="J13" s="11"/>
      <c r="K13" s="11"/>
      <c r="BB13" s="0" t="s">
        <v>27</v>
      </c>
    </row>
    <row r="14" customFormat="false" ht="12.75" hidden="false" customHeight="false" outlineLevel="0" collapsed="false">
      <c r="B14" s="17"/>
      <c r="C14" s="17"/>
      <c r="D14" s="17"/>
      <c r="E14" s="17"/>
      <c r="F14" s="17"/>
      <c r="G14" s="17"/>
      <c r="H14" s="17"/>
      <c r="I14" s="11"/>
      <c r="J14" s="11"/>
      <c r="K14" s="11"/>
      <c r="BB14" s="0" t="s">
        <v>28</v>
      </c>
    </row>
    <row r="15" customFormat="false" ht="12.75" hidden="false" customHeight="false" outlineLevel="0" collapsed="false">
      <c r="B15" s="6" t="str">
        <f aca="false">IF(H2="English","Shipping Information (if different address)","Informations d'envoi (si adresse différente)")</f>
        <v>Shipping Information (if different address)</v>
      </c>
      <c r="C15" s="7"/>
      <c r="D15" s="7"/>
      <c r="E15" s="7"/>
      <c r="F15" s="7"/>
      <c r="G15" s="7"/>
      <c r="H15" s="7"/>
      <c r="I15" s="11"/>
      <c r="J15" s="11"/>
      <c r="K15" s="11"/>
      <c r="BB15" s="0" t="s">
        <v>29</v>
      </c>
    </row>
    <row r="16" customFormat="false" ht="12.75" hidden="false" customHeight="false" outlineLevel="0" collapsed="false">
      <c r="B16" s="18" t="str">
        <f aca="false">IF(H2="English","First Name","Prénom")</f>
        <v>First Name</v>
      </c>
      <c r="C16" s="10" t="s">
        <v>30</v>
      </c>
      <c r="D16" s="10"/>
      <c r="E16" s="10"/>
      <c r="F16" s="19" t="s">
        <v>9</v>
      </c>
      <c r="G16" s="10" t="s">
        <v>31</v>
      </c>
      <c r="H16" s="10"/>
      <c r="I16" s="11"/>
      <c r="J16" s="11"/>
      <c r="K16" s="11"/>
      <c r="BB16" s="0" t="s">
        <v>32</v>
      </c>
    </row>
    <row r="17" customFormat="false" ht="12.75" hidden="false" customHeight="false" outlineLevel="0" collapsed="false">
      <c r="B17" s="18" t="str">
        <f aca="false">IF(H2="English","Last Name","Nom")</f>
        <v>Last Name</v>
      </c>
      <c r="C17" s="10" t="s">
        <v>33</v>
      </c>
      <c r="D17" s="10"/>
      <c r="E17" s="10"/>
      <c r="F17" s="19" t="s">
        <v>13</v>
      </c>
      <c r="G17" s="10" t="n">
        <v>38118</v>
      </c>
      <c r="H17" s="10"/>
      <c r="I17" s="11"/>
      <c r="J17" s="11"/>
      <c r="K17" s="11"/>
      <c r="BB17" s="0" t="s">
        <v>34</v>
      </c>
    </row>
    <row r="18" customFormat="false" ht="12.75" hidden="false" customHeight="false" outlineLevel="0" collapsed="false">
      <c r="B18" s="18" t="s">
        <v>26</v>
      </c>
      <c r="C18" s="14" t="s">
        <v>35</v>
      </c>
      <c r="D18" s="14"/>
      <c r="E18" s="14"/>
      <c r="F18" s="19" t="s">
        <v>16</v>
      </c>
      <c r="G18" s="10" t="s">
        <v>17</v>
      </c>
      <c r="H18" s="10"/>
      <c r="I18" s="11"/>
      <c r="J18" s="11"/>
      <c r="K18" s="11"/>
      <c r="BB18" s="0" t="s">
        <v>36</v>
      </c>
    </row>
    <row r="19" customFormat="false" ht="12.75" hidden="false" customHeight="false" outlineLevel="0" collapsed="false">
      <c r="B19" s="20"/>
      <c r="C19" s="20"/>
      <c r="D19" s="20"/>
      <c r="E19" s="20"/>
      <c r="F19" s="20"/>
      <c r="G19" s="20"/>
      <c r="H19" s="20"/>
      <c r="I19" s="21"/>
      <c r="J19" s="21"/>
      <c r="BB19" s="0" t="s">
        <v>37</v>
      </c>
    </row>
    <row r="20" customFormat="false" ht="12.75" hidden="false" customHeight="false" outlineLevel="0" collapsed="false">
      <c r="B20" s="20"/>
      <c r="C20" s="20"/>
      <c r="D20" s="20"/>
      <c r="E20" s="20"/>
      <c r="F20" s="20"/>
      <c r="G20" s="20"/>
      <c r="H20" s="20"/>
      <c r="I20" s="21"/>
      <c r="J20" s="21"/>
      <c r="BB20" s="0" t="s">
        <v>38</v>
      </c>
    </row>
    <row r="21" customFormat="false" ht="12.75" hidden="false" customHeight="false" outlineLevel="0" collapsed="false">
      <c r="B21" s="6" t="str">
        <f aca="false">IF(H2="English","Order Summary","Récap de la Commande")</f>
        <v>Order Summary</v>
      </c>
      <c r="C21" s="7"/>
      <c r="D21" s="7"/>
      <c r="E21" s="7"/>
      <c r="F21" s="22"/>
      <c r="G21" s="22"/>
      <c r="H21" s="22"/>
      <c r="I21" s="21"/>
      <c r="J21" s="21"/>
      <c r="BB21" s="0" t="s">
        <v>39</v>
      </c>
    </row>
    <row r="22" customFormat="false" ht="12.75" hidden="false" customHeight="false" outlineLevel="0" collapsed="false">
      <c r="B22" s="23" t="str">
        <f aca="false">IF(H2="English","Number of jerseys","Nombre de maillots")</f>
        <v>Number of jerseys</v>
      </c>
      <c r="C22" s="10" t="n">
        <f aca="false">Summary!C29+Summary!L29+Summary!S29</f>
        <v>1</v>
      </c>
      <c r="D22" s="10"/>
      <c r="E22" s="10"/>
      <c r="F22" s="22"/>
      <c r="G22" s="22"/>
      <c r="H22" s="22"/>
      <c r="I22" s="21"/>
      <c r="J22" s="21"/>
      <c r="BB22" s="0" t="s">
        <v>40</v>
      </c>
    </row>
    <row r="23" customFormat="false" ht="12.75" hidden="false" customHeight="false" outlineLevel="0" collapsed="false">
      <c r="B23" s="23" t="str">
        <f aca="false">IF(H3="English","Number of Shorts","Nombre de shorts")</f>
        <v>Nombre de shorts</v>
      </c>
      <c r="C23" s="24" t="n">
        <f aca="false">Summary!C37</f>
        <v>0</v>
      </c>
      <c r="D23" s="24"/>
      <c r="E23" s="24"/>
      <c r="F23" s="22"/>
      <c r="G23" s="22"/>
      <c r="H23" s="22"/>
      <c r="I23" s="21"/>
      <c r="J23" s="21"/>
      <c r="BB23" s="0" t="s">
        <v>41</v>
      </c>
    </row>
    <row r="24" customFormat="false" ht="12.75" hidden="false" customHeight="false" outlineLevel="0" collapsed="false">
      <c r="B24" s="23" t="str">
        <f aca="false">IF(H2="English","Number of accessories","Nombre d'accessoires")</f>
        <v>Number of accessories</v>
      </c>
      <c r="C24" s="24" t="n">
        <f aca="false">Summary!S47</f>
        <v>0</v>
      </c>
      <c r="D24" s="24"/>
      <c r="E24" s="24"/>
      <c r="F24" s="22"/>
      <c r="G24" s="22"/>
      <c r="H24" s="22"/>
      <c r="I24" s="21"/>
      <c r="J24" s="21"/>
      <c r="BB24" s="0" t="s">
        <v>42</v>
      </c>
    </row>
    <row r="25" customFormat="false" ht="12.75" hidden="false" customHeight="false" outlineLevel="0" collapsed="false">
      <c r="B25" s="25" t="s">
        <v>43</v>
      </c>
      <c r="C25" s="26" t="n">
        <f aca="false">SUM(C22:C24)</f>
        <v>1</v>
      </c>
      <c r="D25" s="26"/>
      <c r="E25" s="26"/>
      <c r="F25" s="27" t="str">
        <f aca="false">IF(H2="English","* total amount must corespond to the Summary sheet total","* le montant total doit correspondre au total de la feuille 'Summary'")</f>
        <v>* total amount must corespond to the Summary sheet total</v>
      </c>
      <c r="I25" s="21"/>
      <c r="J25" s="21"/>
      <c r="BB25" s="0" t="s">
        <v>44</v>
      </c>
    </row>
    <row r="26" customFormat="false" ht="12.75" hidden="false" customHeight="false" outlineLevel="0" collapsed="false">
      <c r="B26" s="28"/>
      <c r="C26" s="28"/>
      <c r="D26" s="28"/>
      <c r="E26" s="28"/>
      <c r="F26" s="28"/>
      <c r="G26" s="28"/>
      <c r="H26" s="28"/>
      <c r="BB26" s="0" t="s">
        <v>45</v>
      </c>
    </row>
    <row r="27" customFormat="false" ht="12.75" hidden="false" customHeight="false" outlineLevel="0" collapsed="false">
      <c r="B27" s="28"/>
      <c r="C27" s="28"/>
      <c r="D27" s="28"/>
      <c r="E27" s="28"/>
      <c r="F27" s="28"/>
      <c r="G27" s="28"/>
      <c r="H27" s="28"/>
      <c r="BB27" s="0" t="s">
        <v>46</v>
      </c>
    </row>
    <row r="28" customFormat="false" ht="12.75" hidden="false" customHeight="false" outlineLevel="0" collapsed="false">
      <c r="B28" s="28"/>
      <c r="C28" s="28"/>
      <c r="D28" s="28"/>
      <c r="E28" s="28"/>
      <c r="F28" s="28"/>
      <c r="G28" s="28"/>
      <c r="H28" s="28"/>
      <c r="BB28" s="29" t="s">
        <v>47</v>
      </c>
    </row>
    <row r="29" s="33" customFormat="true" ht="40.5" hidden="false" customHeight="true" outlineLevel="0" collapsed="false">
      <c r="A29" s="30" t="s">
        <v>48</v>
      </c>
      <c r="B29" s="30" t="str">
        <f aca="false">IF(H2="English","Product","Produit")</f>
        <v>Product</v>
      </c>
      <c r="C29" s="30" t="str">
        <f aca="false">IF(H2="English","Gender / Type","Sexe / Type")</f>
        <v>Gender / Type</v>
      </c>
      <c r="D29" s="30" t="str">
        <f aca="false">IF(H2="English","Size","Taille")</f>
        <v>Size</v>
      </c>
      <c r="E29" s="30" t="str">
        <f aca="false">IF(H2="English","Name to be printed","Nom à imprimer")</f>
        <v>Name to be printed</v>
      </c>
      <c r="F29" s="30" t="str">
        <f aca="false">IF(H2="English","Number to be printed","Numéro à imprimer")</f>
        <v>Number to be printed</v>
      </c>
      <c r="G29" s="31" t="str">
        <f aca="false">IF(H2="English","Special Requests","Demandes particulières")</f>
        <v>Special Requests</v>
      </c>
      <c r="H29" s="31"/>
      <c r="I29" s="32"/>
      <c r="BB29" s="0" t="s">
        <v>49</v>
      </c>
    </row>
    <row r="30" customFormat="false" ht="12" hidden="false" customHeight="true" outlineLevel="0" collapsed="false">
      <c r="A30" s="34" t="n">
        <v>1</v>
      </c>
      <c r="B30" s="35" t="s">
        <v>50</v>
      </c>
      <c r="C30" s="35" t="s">
        <v>51</v>
      </c>
      <c r="D30" s="36" t="s">
        <v>52</v>
      </c>
      <c r="E30" s="35" t="s">
        <v>53</v>
      </c>
      <c r="F30" s="37"/>
      <c r="G30" s="38" t="s">
        <v>54</v>
      </c>
      <c r="H30" s="38"/>
      <c r="I30" s="39" t="str">
        <f aca="false">IF('My order'!H2="English","Use the dropdown lists to fill in your order. Please do not type in anything for the 3 first columns (Product, Gender, Size).","Utilisez les listes pour remplir votre commande. Merci de ne rien taper dans les 3 premières colonnes (Produit, Sexe, Taille).")</f>
        <v>Use the dropdown lists to fill in your order. Please do not type in anything for the 3 first columns (Product, Gender, Size).</v>
      </c>
      <c r="J30" s="39"/>
      <c r="K30" s="39"/>
      <c r="L30" s="0" t="s">
        <v>55</v>
      </c>
      <c r="BB30" s="0" t="s">
        <v>56</v>
      </c>
    </row>
    <row r="31" customFormat="false" ht="12" hidden="false" customHeight="true" outlineLevel="0" collapsed="false">
      <c r="A31" s="40" t="n">
        <v>2</v>
      </c>
      <c r="B31" s="35"/>
      <c r="C31" s="35"/>
      <c r="D31" s="36"/>
      <c r="E31" s="35"/>
      <c r="F31" s="16"/>
      <c r="G31" s="38"/>
      <c r="H31" s="38"/>
      <c r="I31" s="39"/>
      <c r="J31" s="39"/>
      <c r="K31" s="39"/>
      <c r="BB31" s="0" t="s">
        <v>57</v>
      </c>
    </row>
    <row r="32" customFormat="false" ht="12" hidden="false" customHeight="true" outlineLevel="0" collapsed="false">
      <c r="A32" s="40" t="n">
        <v>3</v>
      </c>
      <c r="B32" s="35"/>
      <c r="C32" s="35"/>
      <c r="D32" s="36"/>
      <c r="E32" s="35"/>
      <c r="F32" s="16"/>
      <c r="G32" s="38"/>
      <c r="H32" s="38"/>
      <c r="I32" s="39"/>
      <c r="J32" s="39"/>
      <c r="K32" s="39"/>
      <c r="BB32" s="0" t="s">
        <v>58</v>
      </c>
    </row>
    <row r="33" customFormat="false" ht="12" hidden="false" customHeight="true" outlineLevel="0" collapsed="false">
      <c r="A33" s="40" t="n">
        <v>4</v>
      </c>
      <c r="B33" s="35"/>
      <c r="C33" s="35"/>
      <c r="D33" s="36"/>
      <c r="E33" s="35"/>
      <c r="F33" s="16"/>
      <c r="G33" s="38"/>
      <c r="H33" s="38"/>
      <c r="I33" s="41"/>
      <c r="J33" s="42"/>
      <c r="K33" s="43"/>
      <c r="BB33" s="0" t="s">
        <v>59</v>
      </c>
    </row>
    <row r="34" customFormat="false" ht="12" hidden="false" customHeight="true" outlineLevel="0" collapsed="false">
      <c r="A34" s="40" t="n">
        <v>5</v>
      </c>
      <c r="B34" s="35"/>
      <c r="C34" s="35"/>
      <c r="D34" s="36"/>
      <c r="E34" s="35"/>
      <c r="F34" s="16"/>
      <c r="G34" s="38"/>
      <c r="H34" s="38"/>
      <c r="I34" s="39" t="str">
        <f aca="false">IF(H2="English","Just click on the cell and a list will magically pop up. Start from the 'Product' column and the other lists will adapt. ","Cliquez simplement sur la cellule et une liste apparaitra miraculeusement. Commencez par la colonne 'Produit' et les autres listes s'adapteront automatiquement. ")</f>
        <v>Just click on the cell and a list will magically pop up. Start from the 'Product' column and the other lists will adapt.</v>
      </c>
      <c r="J34" s="39"/>
      <c r="K34" s="39"/>
      <c r="BB34" s="0" t="s">
        <v>60</v>
      </c>
    </row>
    <row r="35" customFormat="false" ht="12" hidden="false" customHeight="true" outlineLevel="0" collapsed="false">
      <c r="A35" s="40" t="n">
        <v>6</v>
      </c>
      <c r="B35" s="35"/>
      <c r="C35" s="35"/>
      <c r="D35" s="36"/>
      <c r="E35" s="35"/>
      <c r="F35" s="16"/>
      <c r="G35" s="38"/>
      <c r="H35" s="38"/>
      <c r="I35" s="39"/>
      <c r="J35" s="39"/>
      <c r="K35" s="39"/>
      <c r="BB35" s="0" t="s">
        <v>61</v>
      </c>
    </row>
    <row r="36" customFormat="false" ht="12" hidden="false" customHeight="true" outlineLevel="0" collapsed="false">
      <c r="A36" s="40" t="n">
        <v>7</v>
      </c>
      <c r="B36" s="35"/>
      <c r="C36" s="35"/>
      <c r="D36" s="36"/>
      <c r="E36" s="35"/>
      <c r="F36" s="16"/>
      <c r="G36" s="38"/>
      <c r="H36" s="38"/>
      <c r="I36" s="39"/>
      <c r="J36" s="39"/>
      <c r="K36" s="39"/>
      <c r="BB36" s="0" t="s">
        <v>62</v>
      </c>
    </row>
    <row r="37" customFormat="false" ht="12" hidden="false" customHeight="true" outlineLevel="0" collapsed="false">
      <c r="A37" s="40" t="n">
        <v>8</v>
      </c>
      <c r="B37" s="35"/>
      <c r="C37" s="35"/>
      <c r="D37" s="36"/>
      <c r="E37" s="35"/>
      <c r="F37" s="16"/>
      <c r="G37" s="38"/>
      <c r="H37" s="38"/>
      <c r="I37" s="41"/>
      <c r="J37" s="42"/>
      <c r="K37" s="43"/>
      <c r="BB37" s="0" t="s">
        <v>63</v>
      </c>
    </row>
    <row r="38" customFormat="false" ht="12" hidden="false" customHeight="true" outlineLevel="0" collapsed="false">
      <c r="A38" s="40" t="n">
        <v>9</v>
      </c>
      <c r="B38" s="35"/>
      <c r="C38" s="35"/>
      <c r="D38" s="36"/>
      <c r="E38" s="35"/>
      <c r="F38" s="16"/>
      <c r="G38" s="38"/>
      <c r="H38" s="38"/>
      <c r="I38" s="39" t="str">
        <f aca="false">IF(H2="English","You can then type in the details for the other columns (Name, Number, Requests).","Vous pouvez ensuite tapez les détails des autres colonnes (Nom, Numéro, Demandes).")</f>
        <v>You can then type in the details for the other columns (Name, Number, Requests).</v>
      </c>
      <c r="J38" s="39"/>
      <c r="K38" s="39"/>
      <c r="BB38" s="0" t="s">
        <v>64</v>
      </c>
    </row>
    <row r="39" customFormat="false" ht="12" hidden="false" customHeight="true" outlineLevel="0" collapsed="false">
      <c r="A39" s="40" t="n">
        <v>10</v>
      </c>
      <c r="B39" s="35"/>
      <c r="C39" s="35"/>
      <c r="D39" s="36"/>
      <c r="E39" s="35"/>
      <c r="F39" s="16"/>
      <c r="G39" s="38"/>
      <c r="H39" s="38"/>
      <c r="I39" s="39"/>
      <c r="J39" s="39"/>
      <c r="K39" s="39"/>
      <c r="BB39" s="0" t="s">
        <v>65</v>
      </c>
    </row>
    <row r="40" customFormat="false" ht="12" hidden="false" customHeight="true" outlineLevel="0" collapsed="false">
      <c r="A40" s="40" t="n">
        <v>11</v>
      </c>
      <c r="B40" s="35"/>
      <c r="C40" s="35"/>
      <c r="D40" s="36"/>
      <c r="E40" s="35"/>
      <c r="F40" s="16"/>
      <c r="G40" s="38"/>
      <c r="H40" s="38"/>
      <c r="I40" s="39"/>
      <c r="J40" s="39"/>
      <c r="K40" s="39"/>
      <c r="BB40" s="0" t="s">
        <v>66</v>
      </c>
    </row>
    <row r="41" customFormat="false" ht="12" hidden="false" customHeight="true" outlineLevel="0" collapsed="false">
      <c r="A41" s="40" t="n">
        <v>12</v>
      </c>
      <c r="B41" s="35"/>
      <c r="C41" s="35"/>
      <c r="D41" s="36"/>
      <c r="E41" s="35"/>
      <c r="F41" s="16"/>
      <c r="G41" s="38"/>
      <c r="H41" s="38"/>
      <c r="I41" s="44"/>
      <c r="J41" s="44"/>
      <c r="BB41" s="0" t="s">
        <v>67</v>
      </c>
    </row>
    <row r="42" customFormat="false" ht="12" hidden="false" customHeight="true" outlineLevel="0" collapsed="false">
      <c r="A42" s="40" t="n">
        <v>13</v>
      </c>
      <c r="B42" s="35"/>
      <c r="C42" s="35"/>
      <c r="D42" s="36"/>
      <c r="E42" s="35"/>
      <c r="F42" s="16"/>
      <c r="G42" s="38"/>
      <c r="H42" s="38"/>
      <c r="I42" s="44"/>
      <c r="J42" s="44"/>
      <c r="BB42" s="0" t="s">
        <v>68</v>
      </c>
    </row>
    <row r="43" customFormat="false" ht="12" hidden="false" customHeight="true" outlineLevel="0" collapsed="false">
      <c r="A43" s="40" t="n">
        <v>14</v>
      </c>
      <c r="B43" s="35"/>
      <c r="C43" s="35"/>
      <c r="D43" s="36"/>
      <c r="E43" s="35"/>
      <c r="F43" s="16"/>
      <c r="G43" s="38"/>
      <c r="H43" s="38"/>
      <c r="I43" s="44"/>
      <c r="J43" s="45"/>
      <c r="BB43" s="0" t="s">
        <v>69</v>
      </c>
    </row>
    <row r="44" customFormat="false" ht="12" hidden="false" customHeight="true" outlineLevel="0" collapsed="false">
      <c r="A44" s="40" t="n">
        <v>15</v>
      </c>
      <c r="B44" s="35"/>
      <c r="C44" s="35"/>
      <c r="D44" s="36"/>
      <c r="E44" s="35"/>
      <c r="F44" s="16"/>
      <c r="G44" s="38"/>
      <c r="H44" s="38"/>
      <c r="I44" s="44"/>
      <c r="J44" s="44"/>
      <c r="BB44" s="0" t="s">
        <v>70</v>
      </c>
    </row>
    <row r="45" customFormat="false" ht="12" hidden="false" customHeight="true" outlineLevel="0" collapsed="false">
      <c r="A45" s="40" t="n">
        <v>16</v>
      </c>
      <c r="B45" s="35"/>
      <c r="C45" s="35"/>
      <c r="D45" s="36"/>
      <c r="E45" s="35"/>
      <c r="F45" s="16"/>
      <c r="G45" s="38"/>
      <c r="H45" s="38"/>
      <c r="I45" s="44"/>
      <c r="J45" s="44"/>
      <c r="BB45" s="0" t="s">
        <v>71</v>
      </c>
    </row>
    <row r="46" customFormat="false" ht="12" hidden="false" customHeight="true" outlineLevel="0" collapsed="false">
      <c r="A46" s="40" t="n">
        <v>17</v>
      </c>
      <c r="B46" s="35"/>
      <c r="C46" s="35"/>
      <c r="D46" s="36"/>
      <c r="E46" s="35"/>
      <c r="F46" s="16"/>
      <c r="G46" s="38"/>
      <c r="H46" s="38"/>
      <c r="I46" s="44"/>
      <c r="J46" s="44"/>
      <c r="BB46" s="0" t="s">
        <v>72</v>
      </c>
    </row>
    <row r="47" customFormat="false" ht="12" hidden="false" customHeight="true" outlineLevel="0" collapsed="false">
      <c r="A47" s="40" t="n">
        <v>18</v>
      </c>
      <c r="B47" s="35"/>
      <c r="C47" s="35"/>
      <c r="D47" s="36"/>
      <c r="E47" s="35"/>
      <c r="F47" s="16"/>
      <c r="G47" s="38"/>
      <c r="H47" s="38"/>
      <c r="I47" s="44"/>
      <c r="J47" s="44"/>
      <c r="BB47" s="0" t="s">
        <v>73</v>
      </c>
    </row>
    <row r="48" customFormat="false" ht="12" hidden="false" customHeight="true" outlineLevel="0" collapsed="false">
      <c r="A48" s="40" t="n">
        <v>19</v>
      </c>
      <c r="B48" s="35"/>
      <c r="C48" s="35"/>
      <c r="D48" s="36"/>
      <c r="E48" s="35"/>
      <c r="F48" s="16"/>
      <c r="G48" s="38"/>
      <c r="H48" s="38"/>
      <c r="I48" s="44"/>
      <c r="J48" s="44"/>
      <c r="BB48" s="0" t="s">
        <v>74</v>
      </c>
    </row>
    <row r="49" customFormat="false" ht="12" hidden="false" customHeight="true" outlineLevel="0" collapsed="false">
      <c r="A49" s="40" t="n">
        <v>20</v>
      </c>
      <c r="B49" s="35"/>
      <c r="C49" s="35"/>
      <c r="D49" s="36"/>
      <c r="E49" s="35"/>
      <c r="F49" s="16"/>
      <c r="G49" s="38"/>
      <c r="H49" s="38"/>
      <c r="I49" s="44"/>
      <c r="J49" s="44"/>
      <c r="BB49" s="0" t="s">
        <v>75</v>
      </c>
    </row>
    <row r="50" customFormat="false" ht="12" hidden="false" customHeight="true" outlineLevel="0" collapsed="false">
      <c r="A50" s="40" t="n">
        <v>21</v>
      </c>
      <c r="B50" s="35"/>
      <c r="C50" s="46"/>
      <c r="D50" s="36"/>
      <c r="E50" s="35"/>
      <c r="F50" s="16"/>
      <c r="G50" s="38"/>
      <c r="H50" s="38"/>
      <c r="I50" s="44"/>
      <c r="J50" s="44"/>
      <c r="BB50" s="0" t="s">
        <v>76</v>
      </c>
    </row>
    <row r="51" customFormat="false" ht="12" hidden="false" customHeight="true" outlineLevel="0" collapsed="false">
      <c r="A51" s="40" t="n">
        <v>22</v>
      </c>
      <c r="B51" s="35"/>
      <c r="C51" s="46"/>
      <c r="D51" s="36"/>
      <c r="E51" s="35"/>
      <c r="F51" s="16"/>
      <c r="G51" s="38"/>
      <c r="H51" s="38"/>
      <c r="I51" s="44"/>
      <c r="J51" s="44"/>
      <c r="BB51" s="0" t="s">
        <v>77</v>
      </c>
    </row>
    <row r="52" customFormat="false" ht="12" hidden="false" customHeight="true" outlineLevel="0" collapsed="false">
      <c r="A52" s="40" t="n">
        <v>23</v>
      </c>
      <c r="B52" s="35"/>
      <c r="C52" s="46"/>
      <c r="D52" s="36"/>
      <c r="E52" s="35"/>
      <c r="F52" s="16"/>
      <c r="G52" s="38"/>
      <c r="H52" s="38"/>
      <c r="I52" s="44"/>
      <c r="J52" s="44"/>
      <c r="BB52" s="0" t="s">
        <v>78</v>
      </c>
    </row>
    <row r="53" customFormat="false" ht="12" hidden="false" customHeight="true" outlineLevel="0" collapsed="false">
      <c r="A53" s="40" t="n">
        <v>24</v>
      </c>
      <c r="B53" s="35"/>
      <c r="C53" s="46"/>
      <c r="D53" s="36"/>
      <c r="E53" s="35"/>
      <c r="F53" s="16"/>
      <c r="G53" s="38"/>
      <c r="H53" s="38"/>
      <c r="I53" s="44"/>
      <c r="J53" s="44"/>
      <c r="BB53" s="0" t="s">
        <v>79</v>
      </c>
    </row>
    <row r="54" customFormat="false" ht="12" hidden="false" customHeight="true" outlineLevel="0" collapsed="false">
      <c r="A54" s="40" t="n">
        <v>25</v>
      </c>
      <c r="B54" s="35"/>
      <c r="C54" s="46"/>
      <c r="D54" s="36"/>
      <c r="E54" s="35"/>
      <c r="F54" s="16"/>
      <c r="G54" s="38"/>
      <c r="H54" s="38"/>
      <c r="I54" s="44"/>
      <c r="J54" s="44"/>
      <c r="BB54" s="0" t="s">
        <v>80</v>
      </c>
    </row>
    <row r="55" customFormat="false" ht="12" hidden="false" customHeight="true" outlineLevel="0" collapsed="false">
      <c r="A55" s="40" t="n">
        <v>26</v>
      </c>
      <c r="B55" s="35"/>
      <c r="C55" s="46"/>
      <c r="D55" s="36"/>
      <c r="E55" s="35"/>
      <c r="F55" s="16"/>
      <c r="G55" s="38"/>
      <c r="H55" s="38"/>
      <c r="I55" s="44"/>
      <c r="J55" s="44"/>
      <c r="BB55" s="0" t="s">
        <v>81</v>
      </c>
    </row>
    <row r="56" customFormat="false" ht="12" hidden="false" customHeight="true" outlineLevel="0" collapsed="false">
      <c r="A56" s="40" t="n">
        <v>27</v>
      </c>
      <c r="B56" s="35"/>
      <c r="C56" s="46"/>
      <c r="D56" s="36"/>
      <c r="E56" s="35"/>
      <c r="F56" s="16"/>
      <c r="G56" s="38"/>
      <c r="H56" s="38"/>
      <c r="I56" s="44"/>
      <c r="J56" s="44"/>
      <c r="BB56" s="0" t="s">
        <v>82</v>
      </c>
    </row>
    <row r="57" customFormat="false" ht="12" hidden="false" customHeight="true" outlineLevel="0" collapsed="false">
      <c r="A57" s="40" t="n">
        <v>28</v>
      </c>
      <c r="B57" s="35"/>
      <c r="C57" s="46"/>
      <c r="D57" s="36"/>
      <c r="E57" s="35"/>
      <c r="F57" s="16"/>
      <c r="G57" s="38"/>
      <c r="H57" s="38"/>
      <c r="I57" s="44"/>
      <c r="J57" s="44"/>
      <c r="BB57" s="0" t="s">
        <v>83</v>
      </c>
    </row>
    <row r="58" customFormat="false" ht="12" hidden="false" customHeight="true" outlineLevel="0" collapsed="false">
      <c r="A58" s="40" t="n">
        <v>29</v>
      </c>
      <c r="B58" s="35"/>
      <c r="C58" s="46"/>
      <c r="D58" s="36"/>
      <c r="E58" s="35"/>
      <c r="F58" s="16"/>
      <c r="G58" s="38"/>
      <c r="H58" s="38"/>
      <c r="I58" s="44"/>
      <c r="J58" s="44"/>
      <c r="BB58" s="0" t="s">
        <v>84</v>
      </c>
    </row>
    <row r="59" customFormat="false" ht="12" hidden="false" customHeight="true" outlineLevel="0" collapsed="false">
      <c r="A59" s="40" t="n">
        <v>30</v>
      </c>
      <c r="B59" s="35"/>
      <c r="C59" s="46"/>
      <c r="D59" s="36"/>
      <c r="E59" s="35"/>
      <c r="F59" s="16"/>
      <c r="G59" s="38"/>
      <c r="H59" s="38"/>
      <c r="I59" s="44"/>
      <c r="J59" s="44"/>
      <c r="BB59" s="0" t="s">
        <v>85</v>
      </c>
    </row>
    <row r="60" customFormat="false" ht="12" hidden="false" customHeight="true" outlineLevel="0" collapsed="false">
      <c r="A60" s="40" t="n">
        <v>31</v>
      </c>
      <c r="B60" s="35"/>
      <c r="C60" s="46"/>
      <c r="D60" s="36"/>
      <c r="E60" s="35"/>
      <c r="F60" s="16"/>
      <c r="G60" s="38"/>
      <c r="H60" s="38"/>
      <c r="I60" s="44"/>
      <c r="J60" s="44"/>
      <c r="BB60" s="0" t="s">
        <v>86</v>
      </c>
    </row>
    <row r="61" customFormat="false" ht="12" hidden="false" customHeight="true" outlineLevel="0" collapsed="false">
      <c r="A61" s="40" t="n">
        <v>32</v>
      </c>
      <c r="B61" s="35"/>
      <c r="C61" s="46"/>
      <c r="D61" s="36"/>
      <c r="E61" s="35"/>
      <c r="F61" s="16"/>
      <c r="G61" s="38"/>
      <c r="H61" s="38"/>
      <c r="I61" s="44"/>
      <c r="J61" s="44"/>
      <c r="BB61" s="0" t="s">
        <v>87</v>
      </c>
    </row>
    <row r="62" customFormat="false" ht="12" hidden="false" customHeight="true" outlineLevel="0" collapsed="false">
      <c r="A62" s="40" t="n">
        <v>33</v>
      </c>
      <c r="B62" s="35"/>
      <c r="C62" s="46"/>
      <c r="D62" s="36"/>
      <c r="E62" s="35"/>
      <c r="F62" s="16"/>
      <c r="G62" s="38"/>
      <c r="H62" s="38"/>
      <c r="I62" s="44"/>
      <c r="J62" s="44"/>
      <c r="BB62" s="0" t="s">
        <v>88</v>
      </c>
    </row>
    <row r="63" customFormat="false" ht="12" hidden="false" customHeight="true" outlineLevel="0" collapsed="false">
      <c r="A63" s="40" t="n">
        <v>34</v>
      </c>
      <c r="B63" s="35"/>
      <c r="C63" s="46"/>
      <c r="D63" s="36"/>
      <c r="E63" s="35"/>
      <c r="F63" s="16"/>
      <c r="G63" s="38"/>
      <c r="H63" s="38"/>
      <c r="I63" s="44"/>
      <c r="J63" s="44"/>
      <c r="BB63" s="0" t="s">
        <v>89</v>
      </c>
    </row>
    <row r="64" customFormat="false" ht="12" hidden="false" customHeight="true" outlineLevel="0" collapsed="false">
      <c r="A64" s="40" t="n">
        <v>35</v>
      </c>
      <c r="B64" s="35"/>
      <c r="C64" s="46"/>
      <c r="D64" s="36"/>
      <c r="E64" s="35"/>
      <c r="F64" s="16"/>
      <c r="G64" s="38"/>
      <c r="H64" s="38"/>
      <c r="I64" s="44"/>
      <c r="J64" s="44"/>
      <c r="BB64" s="0" t="s">
        <v>90</v>
      </c>
    </row>
    <row r="65" customFormat="false" ht="12" hidden="false" customHeight="true" outlineLevel="0" collapsed="false">
      <c r="A65" s="40" t="n">
        <v>36</v>
      </c>
      <c r="B65" s="35"/>
      <c r="C65" s="46"/>
      <c r="D65" s="36"/>
      <c r="E65" s="35"/>
      <c r="F65" s="16"/>
      <c r="G65" s="38"/>
      <c r="H65" s="38"/>
      <c r="I65" s="44"/>
      <c r="J65" s="44"/>
      <c r="BB65" s="0" t="s">
        <v>91</v>
      </c>
    </row>
    <row r="66" customFormat="false" ht="12" hidden="false" customHeight="true" outlineLevel="0" collapsed="false">
      <c r="A66" s="40" t="n">
        <v>37</v>
      </c>
      <c r="B66" s="35"/>
      <c r="C66" s="46"/>
      <c r="D66" s="36"/>
      <c r="E66" s="35"/>
      <c r="F66" s="16"/>
      <c r="G66" s="38"/>
      <c r="H66" s="38"/>
      <c r="I66" s="44"/>
      <c r="J66" s="44"/>
      <c r="BB66" s="0" t="s">
        <v>92</v>
      </c>
    </row>
    <row r="67" customFormat="false" ht="12" hidden="false" customHeight="true" outlineLevel="0" collapsed="false">
      <c r="A67" s="40" t="n">
        <v>38</v>
      </c>
      <c r="B67" s="35"/>
      <c r="C67" s="46"/>
      <c r="D67" s="36"/>
      <c r="E67" s="35"/>
      <c r="F67" s="16"/>
      <c r="G67" s="38"/>
      <c r="H67" s="38"/>
      <c r="I67" s="44"/>
      <c r="J67" s="44"/>
      <c r="BB67" s="0" t="s">
        <v>93</v>
      </c>
    </row>
    <row r="68" customFormat="false" ht="12" hidden="false" customHeight="true" outlineLevel="0" collapsed="false">
      <c r="A68" s="40" t="n">
        <v>39</v>
      </c>
      <c r="B68" s="35"/>
      <c r="C68" s="46"/>
      <c r="D68" s="36"/>
      <c r="E68" s="35"/>
      <c r="F68" s="16"/>
      <c r="G68" s="38"/>
      <c r="H68" s="38"/>
      <c r="I68" s="44"/>
      <c r="J68" s="44"/>
      <c r="BB68" s="0" t="s">
        <v>94</v>
      </c>
    </row>
    <row r="69" customFormat="false" ht="12" hidden="false" customHeight="true" outlineLevel="0" collapsed="false">
      <c r="A69" s="40" t="n">
        <v>40</v>
      </c>
      <c r="B69" s="35"/>
      <c r="C69" s="46"/>
      <c r="D69" s="36"/>
      <c r="E69" s="35"/>
      <c r="F69" s="16"/>
      <c r="G69" s="38"/>
      <c r="H69" s="38"/>
      <c r="I69" s="44"/>
      <c r="J69" s="44"/>
      <c r="BB69" s="0" t="s">
        <v>95</v>
      </c>
    </row>
    <row r="70" customFormat="false" ht="12" hidden="false" customHeight="true" outlineLevel="0" collapsed="false">
      <c r="A70" s="40" t="n">
        <v>41</v>
      </c>
      <c r="B70" s="35"/>
      <c r="C70" s="46"/>
      <c r="D70" s="36"/>
      <c r="E70" s="35"/>
      <c r="F70" s="16"/>
      <c r="G70" s="38"/>
      <c r="H70" s="38"/>
      <c r="I70" s="44"/>
      <c r="J70" s="44"/>
      <c r="BB70" s="0" t="s">
        <v>96</v>
      </c>
    </row>
    <row r="71" customFormat="false" ht="12" hidden="false" customHeight="true" outlineLevel="0" collapsed="false">
      <c r="A71" s="40" t="n">
        <v>42</v>
      </c>
      <c r="B71" s="35"/>
      <c r="C71" s="46"/>
      <c r="D71" s="36"/>
      <c r="E71" s="35"/>
      <c r="F71" s="16"/>
      <c r="G71" s="38"/>
      <c r="H71" s="38"/>
      <c r="I71" s="44"/>
      <c r="J71" s="44"/>
      <c r="BB71" s="0" t="s">
        <v>97</v>
      </c>
    </row>
    <row r="72" customFormat="false" ht="12" hidden="false" customHeight="true" outlineLevel="0" collapsed="false">
      <c r="A72" s="40" t="n">
        <v>43</v>
      </c>
      <c r="B72" s="35"/>
      <c r="C72" s="46"/>
      <c r="D72" s="36"/>
      <c r="E72" s="35"/>
      <c r="F72" s="16"/>
      <c r="G72" s="38"/>
      <c r="H72" s="38"/>
      <c r="I72" s="44"/>
      <c r="J72" s="44"/>
      <c r="BB72" s="0" t="s">
        <v>98</v>
      </c>
    </row>
    <row r="73" customFormat="false" ht="12" hidden="false" customHeight="true" outlineLevel="0" collapsed="false">
      <c r="A73" s="40" t="n">
        <v>44</v>
      </c>
      <c r="B73" s="35"/>
      <c r="C73" s="46"/>
      <c r="D73" s="36"/>
      <c r="E73" s="35"/>
      <c r="F73" s="16"/>
      <c r="G73" s="38"/>
      <c r="H73" s="38"/>
      <c r="I73" s="44"/>
      <c r="J73" s="44"/>
      <c r="BB73" s="0" t="s">
        <v>99</v>
      </c>
    </row>
    <row r="74" customFormat="false" ht="12" hidden="false" customHeight="true" outlineLevel="0" collapsed="false">
      <c r="A74" s="40" t="n">
        <v>45</v>
      </c>
      <c r="B74" s="35"/>
      <c r="C74" s="46"/>
      <c r="D74" s="36"/>
      <c r="E74" s="35"/>
      <c r="F74" s="16"/>
      <c r="G74" s="38"/>
      <c r="H74" s="38"/>
      <c r="I74" s="44"/>
      <c r="J74" s="44"/>
      <c r="BB74" s="0" t="s">
        <v>100</v>
      </c>
    </row>
    <row r="75" customFormat="false" ht="12" hidden="false" customHeight="true" outlineLevel="0" collapsed="false">
      <c r="A75" s="40" t="n">
        <v>46</v>
      </c>
      <c r="B75" s="35"/>
      <c r="C75" s="46"/>
      <c r="D75" s="36"/>
      <c r="E75" s="35"/>
      <c r="F75" s="16"/>
      <c r="G75" s="38"/>
      <c r="H75" s="38"/>
      <c r="I75" s="44"/>
      <c r="J75" s="44"/>
      <c r="BB75" s="0" t="s">
        <v>101</v>
      </c>
    </row>
    <row r="76" customFormat="false" ht="12" hidden="false" customHeight="true" outlineLevel="0" collapsed="false">
      <c r="A76" s="40" t="n">
        <v>47</v>
      </c>
      <c r="B76" s="35"/>
      <c r="C76" s="46"/>
      <c r="D76" s="36"/>
      <c r="E76" s="35"/>
      <c r="F76" s="16"/>
      <c r="G76" s="38"/>
      <c r="H76" s="38"/>
      <c r="I76" s="44"/>
      <c r="J76" s="44"/>
      <c r="BB76" s="0" t="s">
        <v>102</v>
      </c>
    </row>
    <row r="77" customFormat="false" ht="12" hidden="false" customHeight="true" outlineLevel="0" collapsed="false">
      <c r="A77" s="40" t="n">
        <v>48</v>
      </c>
      <c r="B77" s="35"/>
      <c r="C77" s="46"/>
      <c r="D77" s="36"/>
      <c r="E77" s="35"/>
      <c r="F77" s="16"/>
      <c r="G77" s="38"/>
      <c r="H77" s="38"/>
      <c r="I77" s="44"/>
      <c r="J77" s="44"/>
      <c r="BB77" s="0" t="s">
        <v>22</v>
      </c>
    </row>
    <row r="78" customFormat="false" ht="12" hidden="false" customHeight="true" outlineLevel="0" collapsed="false">
      <c r="A78" s="40" t="n">
        <v>49</v>
      </c>
      <c r="B78" s="35"/>
      <c r="C78" s="46"/>
      <c r="D78" s="36"/>
      <c r="E78" s="35"/>
      <c r="F78" s="16"/>
      <c r="G78" s="38"/>
      <c r="H78" s="38"/>
      <c r="I78" s="44"/>
      <c r="J78" s="44"/>
      <c r="BB78" s="0" t="s">
        <v>103</v>
      </c>
    </row>
    <row r="79" customFormat="false" ht="12" hidden="false" customHeight="true" outlineLevel="0" collapsed="false">
      <c r="A79" s="40" t="n">
        <v>50</v>
      </c>
      <c r="B79" s="35"/>
      <c r="C79" s="46"/>
      <c r="D79" s="36"/>
      <c r="E79" s="35"/>
      <c r="F79" s="16"/>
      <c r="G79" s="38"/>
      <c r="H79" s="38"/>
      <c r="I79" s="44"/>
      <c r="J79" s="44"/>
      <c r="BB79" s="0" t="s">
        <v>104</v>
      </c>
    </row>
    <row r="80" customFormat="false" ht="12" hidden="false" customHeight="true" outlineLevel="0" collapsed="false">
      <c r="A80" s="40" t="n">
        <v>51</v>
      </c>
      <c r="B80" s="35"/>
      <c r="C80" s="46"/>
      <c r="D80" s="36"/>
      <c r="E80" s="35"/>
      <c r="F80" s="16"/>
      <c r="G80" s="38"/>
      <c r="H80" s="38"/>
      <c r="I80" s="44"/>
      <c r="J80" s="44"/>
      <c r="BB80" s="0" t="s">
        <v>105</v>
      </c>
    </row>
    <row r="81" customFormat="false" ht="12" hidden="false" customHeight="true" outlineLevel="0" collapsed="false">
      <c r="A81" s="40" t="n">
        <v>52</v>
      </c>
      <c r="B81" s="35"/>
      <c r="C81" s="46"/>
      <c r="D81" s="36"/>
      <c r="E81" s="35"/>
      <c r="F81" s="16"/>
      <c r="G81" s="38"/>
      <c r="H81" s="38"/>
      <c r="I81" s="44"/>
      <c r="J81" s="44"/>
      <c r="BB81" s="0" t="s">
        <v>106</v>
      </c>
    </row>
    <row r="82" customFormat="false" ht="12" hidden="false" customHeight="true" outlineLevel="0" collapsed="false">
      <c r="A82" s="40" t="n">
        <v>53</v>
      </c>
      <c r="B82" s="35"/>
      <c r="C82" s="46"/>
      <c r="D82" s="36"/>
      <c r="E82" s="35"/>
      <c r="F82" s="16"/>
      <c r="G82" s="38"/>
      <c r="H82" s="38"/>
      <c r="I82" s="44"/>
      <c r="J82" s="44"/>
      <c r="BB82" s="0" t="s">
        <v>107</v>
      </c>
    </row>
    <row r="83" customFormat="false" ht="12" hidden="false" customHeight="true" outlineLevel="0" collapsed="false">
      <c r="A83" s="40" t="n">
        <v>54</v>
      </c>
      <c r="B83" s="35"/>
      <c r="C83" s="46"/>
      <c r="D83" s="36"/>
      <c r="E83" s="35"/>
      <c r="F83" s="16"/>
      <c r="G83" s="38"/>
      <c r="H83" s="38"/>
      <c r="I83" s="44"/>
      <c r="J83" s="44"/>
      <c r="BB83" s="0" t="s">
        <v>108</v>
      </c>
    </row>
    <row r="84" customFormat="false" ht="12" hidden="false" customHeight="true" outlineLevel="0" collapsed="false">
      <c r="A84" s="40" t="n">
        <v>55</v>
      </c>
      <c r="B84" s="35"/>
      <c r="C84" s="46"/>
      <c r="D84" s="36"/>
      <c r="E84" s="35"/>
      <c r="F84" s="16"/>
      <c r="G84" s="38"/>
      <c r="H84" s="38"/>
      <c r="I84" s="44"/>
      <c r="J84" s="44"/>
      <c r="BB84" s="0" t="s">
        <v>109</v>
      </c>
    </row>
    <row r="85" customFormat="false" ht="12" hidden="false" customHeight="true" outlineLevel="0" collapsed="false">
      <c r="A85" s="40" t="n">
        <v>56</v>
      </c>
      <c r="B85" s="35"/>
      <c r="C85" s="46"/>
      <c r="D85" s="36"/>
      <c r="E85" s="35"/>
      <c r="F85" s="16"/>
      <c r="G85" s="38"/>
      <c r="H85" s="38"/>
      <c r="I85" s="44"/>
      <c r="J85" s="44"/>
      <c r="BB85" s="0" t="s">
        <v>110</v>
      </c>
    </row>
    <row r="86" customFormat="false" ht="12" hidden="false" customHeight="true" outlineLevel="0" collapsed="false">
      <c r="A86" s="40" t="n">
        <v>57</v>
      </c>
      <c r="B86" s="35"/>
      <c r="C86" s="46"/>
      <c r="D86" s="36"/>
      <c r="E86" s="35"/>
      <c r="F86" s="16"/>
      <c r="G86" s="38"/>
      <c r="H86" s="38"/>
      <c r="I86" s="44"/>
      <c r="J86" s="44"/>
      <c r="BB86" s="0" t="s">
        <v>111</v>
      </c>
    </row>
    <row r="87" customFormat="false" ht="12" hidden="false" customHeight="true" outlineLevel="0" collapsed="false">
      <c r="A87" s="40" t="n">
        <v>58</v>
      </c>
      <c r="B87" s="35"/>
      <c r="C87" s="46"/>
      <c r="D87" s="36"/>
      <c r="E87" s="35"/>
      <c r="F87" s="16"/>
      <c r="G87" s="38"/>
      <c r="H87" s="38"/>
      <c r="I87" s="44"/>
      <c r="J87" s="44"/>
      <c r="BB87" s="0" t="s">
        <v>112</v>
      </c>
    </row>
    <row r="88" customFormat="false" ht="12" hidden="false" customHeight="true" outlineLevel="0" collapsed="false">
      <c r="A88" s="40" t="n">
        <v>59</v>
      </c>
      <c r="B88" s="35"/>
      <c r="C88" s="46"/>
      <c r="D88" s="36"/>
      <c r="E88" s="35"/>
      <c r="F88" s="16"/>
      <c r="G88" s="38"/>
      <c r="H88" s="38"/>
      <c r="I88" s="44"/>
      <c r="J88" s="44"/>
      <c r="BB88" s="0" t="s">
        <v>113</v>
      </c>
    </row>
    <row r="89" customFormat="false" ht="12" hidden="false" customHeight="true" outlineLevel="0" collapsed="false">
      <c r="A89" s="40" t="n">
        <v>60</v>
      </c>
      <c r="B89" s="35"/>
      <c r="C89" s="46"/>
      <c r="D89" s="36"/>
      <c r="E89" s="35"/>
      <c r="F89" s="16"/>
      <c r="G89" s="38"/>
      <c r="H89" s="38"/>
      <c r="I89" s="44"/>
      <c r="J89" s="44"/>
      <c r="BB89" s="0" t="s">
        <v>114</v>
      </c>
    </row>
    <row r="90" customFormat="false" ht="12" hidden="false" customHeight="true" outlineLevel="0" collapsed="false">
      <c r="A90" s="40" t="n">
        <v>61</v>
      </c>
      <c r="B90" s="35"/>
      <c r="C90" s="46"/>
      <c r="D90" s="36"/>
      <c r="E90" s="35"/>
      <c r="F90" s="16"/>
      <c r="G90" s="38"/>
      <c r="H90" s="38"/>
      <c r="I90" s="44"/>
      <c r="J90" s="44"/>
      <c r="BB90" s="0" t="s">
        <v>115</v>
      </c>
    </row>
    <row r="91" customFormat="false" ht="12" hidden="false" customHeight="true" outlineLevel="0" collapsed="false">
      <c r="A91" s="40" t="n">
        <v>62</v>
      </c>
      <c r="B91" s="35"/>
      <c r="C91" s="46"/>
      <c r="D91" s="36"/>
      <c r="E91" s="35"/>
      <c r="F91" s="16"/>
      <c r="G91" s="38"/>
      <c r="H91" s="38"/>
      <c r="I91" s="44"/>
      <c r="J91" s="44"/>
      <c r="BB91" s="0" t="s">
        <v>116</v>
      </c>
    </row>
    <row r="92" customFormat="false" ht="12" hidden="false" customHeight="true" outlineLevel="0" collapsed="false">
      <c r="A92" s="40" t="n">
        <v>63</v>
      </c>
      <c r="B92" s="35"/>
      <c r="C92" s="46"/>
      <c r="D92" s="36"/>
      <c r="E92" s="35"/>
      <c r="F92" s="16"/>
      <c r="G92" s="38"/>
      <c r="H92" s="38"/>
      <c r="I92" s="44"/>
      <c r="J92" s="44"/>
      <c r="BB92" s="0" t="s">
        <v>117</v>
      </c>
    </row>
    <row r="93" customFormat="false" ht="12" hidden="false" customHeight="true" outlineLevel="0" collapsed="false">
      <c r="A93" s="40" t="n">
        <v>64</v>
      </c>
      <c r="B93" s="35"/>
      <c r="C93" s="46"/>
      <c r="D93" s="36"/>
      <c r="E93" s="35"/>
      <c r="F93" s="16"/>
      <c r="G93" s="38"/>
      <c r="H93" s="38"/>
      <c r="I93" s="44"/>
      <c r="J93" s="44"/>
      <c r="BB93" s="0" t="s">
        <v>118</v>
      </c>
    </row>
    <row r="94" customFormat="false" ht="12" hidden="false" customHeight="true" outlineLevel="0" collapsed="false">
      <c r="A94" s="40" t="n">
        <v>65</v>
      </c>
      <c r="B94" s="35"/>
      <c r="C94" s="46"/>
      <c r="D94" s="36"/>
      <c r="E94" s="35"/>
      <c r="F94" s="16"/>
      <c r="G94" s="38"/>
      <c r="H94" s="38"/>
      <c r="I94" s="44"/>
      <c r="J94" s="44"/>
      <c r="BB94" s="0" t="s">
        <v>119</v>
      </c>
    </row>
    <row r="95" customFormat="false" ht="12" hidden="false" customHeight="true" outlineLevel="0" collapsed="false">
      <c r="A95" s="40" t="n">
        <v>66</v>
      </c>
      <c r="B95" s="35"/>
      <c r="C95" s="46"/>
      <c r="D95" s="36"/>
      <c r="E95" s="35"/>
      <c r="F95" s="16"/>
      <c r="G95" s="38"/>
      <c r="H95" s="38"/>
      <c r="I95" s="44"/>
      <c r="J95" s="44"/>
      <c r="BB95" s="0" t="s">
        <v>120</v>
      </c>
    </row>
    <row r="96" customFormat="false" ht="12" hidden="false" customHeight="true" outlineLevel="0" collapsed="false">
      <c r="A96" s="40" t="n">
        <v>67</v>
      </c>
      <c r="B96" s="35"/>
      <c r="C96" s="46"/>
      <c r="D96" s="36"/>
      <c r="E96" s="35"/>
      <c r="F96" s="16"/>
      <c r="G96" s="38"/>
      <c r="H96" s="38"/>
      <c r="I96" s="44"/>
      <c r="J96" s="44"/>
      <c r="BB96" s="0" t="s">
        <v>121</v>
      </c>
    </row>
    <row r="97" customFormat="false" ht="12" hidden="false" customHeight="true" outlineLevel="0" collapsed="false">
      <c r="A97" s="40" t="n">
        <v>68</v>
      </c>
      <c r="B97" s="35"/>
      <c r="C97" s="46"/>
      <c r="D97" s="36"/>
      <c r="E97" s="35"/>
      <c r="F97" s="16"/>
      <c r="G97" s="38"/>
      <c r="H97" s="38"/>
      <c r="I97" s="44"/>
      <c r="J97" s="44"/>
      <c r="BB97" s="0" t="s">
        <v>122</v>
      </c>
    </row>
    <row r="98" customFormat="false" ht="12" hidden="false" customHeight="true" outlineLevel="0" collapsed="false">
      <c r="A98" s="40" t="n">
        <v>69</v>
      </c>
      <c r="B98" s="35"/>
      <c r="C98" s="46"/>
      <c r="D98" s="36"/>
      <c r="E98" s="35"/>
      <c r="F98" s="16"/>
      <c r="G98" s="38"/>
      <c r="H98" s="38"/>
      <c r="I98" s="44"/>
      <c r="J98" s="44"/>
      <c r="BB98" s="0" t="s">
        <v>123</v>
      </c>
    </row>
    <row r="99" customFormat="false" ht="12" hidden="false" customHeight="true" outlineLevel="0" collapsed="false">
      <c r="A99" s="40" t="n">
        <v>70</v>
      </c>
      <c r="B99" s="35"/>
      <c r="C99" s="46"/>
      <c r="D99" s="36"/>
      <c r="E99" s="35"/>
      <c r="F99" s="16"/>
      <c r="G99" s="38"/>
      <c r="H99" s="38"/>
      <c r="I99" s="44"/>
      <c r="J99" s="44"/>
      <c r="BB99" s="0" t="s">
        <v>124</v>
      </c>
    </row>
    <row r="100" customFormat="false" ht="12" hidden="false" customHeight="true" outlineLevel="0" collapsed="false">
      <c r="A100" s="40" t="n">
        <v>71</v>
      </c>
      <c r="B100" s="35"/>
      <c r="C100" s="46"/>
      <c r="D100" s="36"/>
      <c r="E100" s="35"/>
      <c r="F100" s="16"/>
      <c r="G100" s="38"/>
      <c r="H100" s="38"/>
      <c r="I100" s="44"/>
      <c r="J100" s="44"/>
      <c r="BB100" s="0" t="s">
        <v>125</v>
      </c>
    </row>
    <row r="101" customFormat="false" ht="12" hidden="false" customHeight="true" outlineLevel="0" collapsed="false">
      <c r="A101" s="40" t="n">
        <v>72</v>
      </c>
      <c r="B101" s="35"/>
      <c r="C101" s="46"/>
      <c r="D101" s="36"/>
      <c r="E101" s="35"/>
      <c r="F101" s="16"/>
      <c r="G101" s="38"/>
      <c r="H101" s="38"/>
      <c r="I101" s="44"/>
      <c r="J101" s="44"/>
      <c r="BB101" s="0" t="s">
        <v>126</v>
      </c>
    </row>
    <row r="102" customFormat="false" ht="12" hidden="false" customHeight="true" outlineLevel="0" collapsed="false">
      <c r="A102" s="40" t="n">
        <v>73</v>
      </c>
      <c r="B102" s="35"/>
      <c r="C102" s="46"/>
      <c r="D102" s="36"/>
      <c r="E102" s="35"/>
      <c r="F102" s="16"/>
      <c r="G102" s="38"/>
      <c r="H102" s="38"/>
      <c r="I102" s="44"/>
      <c r="J102" s="44"/>
      <c r="BB102" s="0" t="s">
        <v>127</v>
      </c>
    </row>
    <row r="103" customFormat="false" ht="12" hidden="false" customHeight="true" outlineLevel="0" collapsed="false">
      <c r="A103" s="40" t="n">
        <v>74</v>
      </c>
      <c r="B103" s="35"/>
      <c r="C103" s="46"/>
      <c r="D103" s="36"/>
      <c r="E103" s="35"/>
      <c r="F103" s="16"/>
      <c r="G103" s="38"/>
      <c r="H103" s="38"/>
      <c r="I103" s="44"/>
      <c r="J103" s="44"/>
      <c r="BB103" s="0" t="s">
        <v>128</v>
      </c>
    </row>
    <row r="104" customFormat="false" ht="12" hidden="false" customHeight="true" outlineLevel="0" collapsed="false">
      <c r="A104" s="40" t="n">
        <v>75</v>
      </c>
      <c r="B104" s="35"/>
      <c r="C104" s="46"/>
      <c r="D104" s="36"/>
      <c r="E104" s="35"/>
      <c r="F104" s="16"/>
      <c r="G104" s="38"/>
      <c r="H104" s="38"/>
      <c r="I104" s="44"/>
      <c r="J104" s="44"/>
      <c r="BB104" s="0" t="s">
        <v>129</v>
      </c>
    </row>
    <row r="105" customFormat="false" ht="12" hidden="false" customHeight="true" outlineLevel="0" collapsed="false">
      <c r="A105" s="40" t="n">
        <v>76</v>
      </c>
      <c r="B105" s="35"/>
      <c r="C105" s="46"/>
      <c r="D105" s="36"/>
      <c r="E105" s="35"/>
      <c r="F105" s="16"/>
      <c r="G105" s="38"/>
      <c r="H105" s="38"/>
      <c r="I105" s="44"/>
      <c r="J105" s="44"/>
      <c r="BB105" s="0" t="s">
        <v>130</v>
      </c>
    </row>
    <row r="106" customFormat="false" ht="12" hidden="false" customHeight="true" outlineLevel="0" collapsed="false">
      <c r="A106" s="40" t="n">
        <v>77</v>
      </c>
      <c r="B106" s="35"/>
      <c r="C106" s="46"/>
      <c r="D106" s="36"/>
      <c r="E106" s="35"/>
      <c r="F106" s="16"/>
      <c r="G106" s="38"/>
      <c r="H106" s="38"/>
      <c r="I106" s="44"/>
      <c r="J106" s="44"/>
      <c r="BB106" s="0" t="s">
        <v>131</v>
      </c>
    </row>
    <row r="107" customFormat="false" ht="12" hidden="false" customHeight="true" outlineLevel="0" collapsed="false">
      <c r="A107" s="40" t="n">
        <v>78</v>
      </c>
      <c r="B107" s="35"/>
      <c r="C107" s="46"/>
      <c r="D107" s="36"/>
      <c r="E107" s="35"/>
      <c r="F107" s="16"/>
      <c r="G107" s="38"/>
      <c r="H107" s="38"/>
      <c r="I107" s="44"/>
      <c r="J107" s="44"/>
      <c r="BB107" s="0" t="s">
        <v>132</v>
      </c>
    </row>
    <row r="108" customFormat="false" ht="12" hidden="false" customHeight="true" outlineLevel="0" collapsed="false">
      <c r="A108" s="40" t="n">
        <v>79</v>
      </c>
      <c r="B108" s="35"/>
      <c r="C108" s="46"/>
      <c r="D108" s="36"/>
      <c r="E108" s="35"/>
      <c r="F108" s="16"/>
      <c r="G108" s="38"/>
      <c r="H108" s="38"/>
      <c r="I108" s="44"/>
      <c r="J108" s="44"/>
      <c r="BB108" s="0" t="s">
        <v>133</v>
      </c>
    </row>
    <row r="109" customFormat="false" ht="12" hidden="false" customHeight="true" outlineLevel="0" collapsed="false">
      <c r="A109" s="40" t="n">
        <v>80</v>
      </c>
      <c r="B109" s="35"/>
      <c r="C109" s="46"/>
      <c r="D109" s="36"/>
      <c r="E109" s="35"/>
      <c r="F109" s="16"/>
      <c r="G109" s="38"/>
      <c r="H109" s="38"/>
      <c r="I109" s="44"/>
      <c r="J109" s="44"/>
      <c r="BB109" s="0" t="s">
        <v>134</v>
      </c>
    </row>
    <row r="110" customFormat="false" ht="12" hidden="false" customHeight="true" outlineLevel="0" collapsed="false">
      <c r="A110" s="40" t="n">
        <v>81</v>
      </c>
      <c r="B110" s="35"/>
      <c r="C110" s="46"/>
      <c r="D110" s="36"/>
      <c r="E110" s="35"/>
      <c r="F110" s="16"/>
      <c r="G110" s="38"/>
      <c r="H110" s="38"/>
      <c r="I110" s="44"/>
      <c r="J110" s="44"/>
      <c r="BB110" s="0" t="s">
        <v>135</v>
      </c>
    </row>
    <row r="111" customFormat="false" ht="12" hidden="false" customHeight="true" outlineLevel="0" collapsed="false">
      <c r="A111" s="40" t="n">
        <v>82</v>
      </c>
      <c r="B111" s="35"/>
      <c r="C111" s="46"/>
      <c r="D111" s="36"/>
      <c r="E111" s="35"/>
      <c r="F111" s="16"/>
      <c r="G111" s="38"/>
      <c r="H111" s="38"/>
      <c r="I111" s="44"/>
      <c r="J111" s="44"/>
      <c r="BB111" s="0" t="s">
        <v>136</v>
      </c>
    </row>
    <row r="112" customFormat="false" ht="12" hidden="false" customHeight="true" outlineLevel="0" collapsed="false">
      <c r="A112" s="40" t="n">
        <v>83</v>
      </c>
      <c r="B112" s="35"/>
      <c r="C112" s="46"/>
      <c r="D112" s="36"/>
      <c r="E112" s="35"/>
      <c r="F112" s="16"/>
      <c r="G112" s="38"/>
      <c r="H112" s="38"/>
      <c r="I112" s="44"/>
      <c r="J112" s="44"/>
      <c r="BB112" s="0" t="s">
        <v>137</v>
      </c>
    </row>
    <row r="113" customFormat="false" ht="12" hidden="false" customHeight="true" outlineLevel="0" collapsed="false">
      <c r="A113" s="40" t="n">
        <v>84</v>
      </c>
      <c r="B113" s="35"/>
      <c r="C113" s="46"/>
      <c r="D113" s="36"/>
      <c r="E113" s="35"/>
      <c r="F113" s="16"/>
      <c r="G113" s="38"/>
      <c r="H113" s="38"/>
      <c r="I113" s="44"/>
      <c r="J113" s="44"/>
      <c r="BB113" s="0" t="s">
        <v>138</v>
      </c>
    </row>
    <row r="114" customFormat="false" ht="12" hidden="false" customHeight="true" outlineLevel="0" collapsed="false">
      <c r="A114" s="40" t="n">
        <v>85</v>
      </c>
      <c r="B114" s="35"/>
      <c r="C114" s="46"/>
      <c r="D114" s="36"/>
      <c r="E114" s="35"/>
      <c r="F114" s="16"/>
      <c r="G114" s="38"/>
      <c r="H114" s="38"/>
      <c r="I114" s="44"/>
      <c r="J114" s="44"/>
      <c r="BB114" s="0" t="s">
        <v>139</v>
      </c>
    </row>
    <row r="115" customFormat="false" ht="12" hidden="false" customHeight="true" outlineLevel="0" collapsed="false">
      <c r="A115" s="40" t="n">
        <v>86</v>
      </c>
      <c r="B115" s="35"/>
      <c r="C115" s="46"/>
      <c r="D115" s="36"/>
      <c r="E115" s="35"/>
      <c r="F115" s="16"/>
      <c r="G115" s="38"/>
      <c r="H115" s="38"/>
      <c r="I115" s="44"/>
      <c r="J115" s="44"/>
      <c r="BB115" s="0" t="s">
        <v>140</v>
      </c>
    </row>
    <row r="116" customFormat="false" ht="12" hidden="false" customHeight="true" outlineLevel="0" collapsed="false">
      <c r="A116" s="40" t="n">
        <v>87</v>
      </c>
      <c r="B116" s="35"/>
      <c r="C116" s="46"/>
      <c r="D116" s="36"/>
      <c r="E116" s="35"/>
      <c r="F116" s="16"/>
      <c r="G116" s="38"/>
      <c r="H116" s="38"/>
      <c r="I116" s="44"/>
      <c r="J116" s="44"/>
      <c r="BB116" s="0" t="s">
        <v>141</v>
      </c>
    </row>
    <row r="117" customFormat="false" ht="12" hidden="false" customHeight="true" outlineLevel="0" collapsed="false">
      <c r="A117" s="40" t="n">
        <v>88</v>
      </c>
      <c r="B117" s="35"/>
      <c r="C117" s="46"/>
      <c r="D117" s="36"/>
      <c r="E117" s="35"/>
      <c r="F117" s="16"/>
      <c r="G117" s="38"/>
      <c r="H117" s="38"/>
      <c r="I117" s="44"/>
      <c r="J117" s="44"/>
      <c r="BB117" s="0" t="s">
        <v>142</v>
      </c>
    </row>
    <row r="118" customFormat="false" ht="12" hidden="false" customHeight="true" outlineLevel="0" collapsed="false">
      <c r="A118" s="40" t="n">
        <v>89</v>
      </c>
      <c r="B118" s="35"/>
      <c r="C118" s="46"/>
      <c r="D118" s="36"/>
      <c r="E118" s="35"/>
      <c r="F118" s="16"/>
      <c r="G118" s="38"/>
      <c r="H118" s="38"/>
      <c r="I118" s="44"/>
      <c r="J118" s="44"/>
      <c r="BB118" s="0" t="s">
        <v>143</v>
      </c>
    </row>
    <row r="119" customFormat="false" ht="12" hidden="false" customHeight="true" outlineLevel="0" collapsed="false">
      <c r="A119" s="40" t="n">
        <v>90</v>
      </c>
      <c r="B119" s="35"/>
      <c r="C119" s="46"/>
      <c r="D119" s="36"/>
      <c r="E119" s="35"/>
      <c r="F119" s="16"/>
      <c r="G119" s="38"/>
      <c r="H119" s="38"/>
      <c r="I119" s="44"/>
      <c r="J119" s="44"/>
      <c r="BB119" s="0" t="s">
        <v>144</v>
      </c>
    </row>
    <row r="120" customFormat="false" ht="12" hidden="false" customHeight="true" outlineLevel="0" collapsed="false">
      <c r="A120" s="40" t="n">
        <v>91</v>
      </c>
      <c r="B120" s="35"/>
      <c r="C120" s="46"/>
      <c r="D120" s="36"/>
      <c r="E120" s="35"/>
      <c r="F120" s="16"/>
      <c r="G120" s="38"/>
      <c r="H120" s="38"/>
      <c r="I120" s="44"/>
      <c r="J120" s="44"/>
      <c r="BB120" s="0" t="s">
        <v>145</v>
      </c>
    </row>
    <row r="121" customFormat="false" ht="12" hidden="false" customHeight="true" outlineLevel="0" collapsed="false">
      <c r="A121" s="40" t="n">
        <v>92</v>
      </c>
      <c r="B121" s="35"/>
      <c r="C121" s="46"/>
      <c r="D121" s="36"/>
      <c r="E121" s="35"/>
      <c r="F121" s="16"/>
      <c r="G121" s="38"/>
      <c r="H121" s="38"/>
      <c r="I121" s="44"/>
      <c r="J121" s="44"/>
      <c r="BB121" s="0" t="s">
        <v>146</v>
      </c>
    </row>
    <row r="122" customFormat="false" ht="12" hidden="false" customHeight="true" outlineLevel="0" collapsed="false">
      <c r="A122" s="40" t="n">
        <v>93</v>
      </c>
      <c r="B122" s="35"/>
      <c r="C122" s="46"/>
      <c r="D122" s="36"/>
      <c r="E122" s="35"/>
      <c r="F122" s="16"/>
      <c r="G122" s="38"/>
      <c r="H122" s="38"/>
      <c r="I122" s="44"/>
      <c r="J122" s="44"/>
      <c r="BB122" s="0" t="s">
        <v>147</v>
      </c>
    </row>
    <row r="123" customFormat="false" ht="12" hidden="false" customHeight="true" outlineLevel="0" collapsed="false">
      <c r="A123" s="40" t="n">
        <v>94</v>
      </c>
      <c r="B123" s="35"/>
      <c r="C123" s="46"/>
      <c r="D123" s="36"/>
      <c r="E123" s="35"/>
      <c r="F123" s="16"/>
      <c r="G123" s="38"/>
      <c r="H123" s="38"/>
      <c r="I123" s="44"/>
      <c r="J123" s="44"/>
      <c r="BB123" s="0" t="s">
        <v>148</v>
      </c>
    </row>
    <row r="124" customFormat="false" ht="12" hidden="false" customHeight="true" outlineLevel="0" collapsed="false">
      <c r="A124" s="40" t="n">
        <v>95</v>
      </c>
      <c r="B124" s="35"/>
      <c r="C124" s="46"/>
      <c r="D124" s="36"/>
      <c r="E124" s="35"/>
      <c r="F124" s="16"/>
      <c r="G124" s="38"/>
      <c r="H124" s="38"/>
      <c r="I124" s="44"/>
      <c r="J124" s="44"/>
      <c r="BB124" s="0" t="s">
        <v>149</v>
      </c>
    </row>
    <row r="125" customFormat="false" ht="12" hidden="false" customHeight="true" outlineLevel="0" collapsed="false">
      <c r="A125" s="40" t="n">
        <v>96</v>
      </c>
      <c r="B125" s="35"/>
      <c r="C125" s="46"/>
      <c r="D125" s="36"/>
      <c r="E125" s="35"/>
      <c r="F125" s="16"/>
      <c r="G125" s="38"/>
      <c r="H125" s="38"/>
      <c r="I125" s="44"/>
      <c r="J125" s="44"/>
      <c r="BB125" s="0" t="s">
        <v>150</v>
      </c>
    </row>
    <row r="126" customFormat="false" ht="12" hidden="false" customHeight="true" outlineLevel="0" collapsed="false">
      <c r="A126" s="40" t="n">
        <v>97</v>
      </c>
      <c r="B126" s="35"/>
      <c r="C126" s="46"/>
      <c r="D126" s="36"/>
      <c r="E126" s="35"/>
      <c r="F126" s="16"/>
      <c r="G126" s="38"/>
      <c r="H126" s="38"/>
      <c r="I126" s="44"/>
      <c r="J126" s="44"/>
      <c r="BB126" s="0" t="s">
        <v>151</v>
      </c>
    </row>
    <row r="127" customFormat="false" ht="12" hidden="false" customHeight="true" outlineLevel="0" collapsed="false">
      <c r="A127" s="40" t="n">
        <v>98</v>
      </c>
      <c r="B127" s="35"/>
      <c r="C127" s="46"/>
      <c r="D127" s="36"/>
      <c r="E127" s="35"/>
      <c r="F127" s="16"/>
      <c r="G127" s="38"/>
      <c r="H127" s="38"/>
      <c r="I127" s="44"/>
      <c r="J127" s="44"/>
      <c r="BB127" s="0" t="s">
        <v>152</v>
      </c>
    </row>
    <row r="128" customFormat="false" ht="12" hidden="false" customHeight="true" outlineLevel="0" collapsed="false">
      <c r="A128" s="40" t="n">
        <v>99</v>
      </c>
      <c r="B128" s="35"/>
      <c r="C128" s="46"/>
      <c r="D128" s="36"/>
      <c r="E128" s="35"/>
      <c r="F128" s="16"/>
      <c r="G128" s="38"/>
      <c r="H128" s="38"/>
      <c r="I128" s="44"/>
      <c r="J128" s="44"/>
      <c r="BB128" s="0" t="s">
        <v>153</v>
      </c>
    </row>
    <row r="129" customFormat="false" ht="12" hidden="false" customHeight="true" outlineLevel="0" collapsed="false">
      <c r="A129" s="40" t="n">
        <v>100</v>
      </c>
      <c r="B129" s="35"/>
      <c r="C129" s="46"/>
      <c r="D129" s="36"/>
      <c r="E129" s="35"/>
      <c r="F129" s="16"/>
      <c r="G129" s="38"/>
      <c r="H129" s="38"/>
      <c r="I129" s="44"/>
      <c r="J129" s="44"/>
      <c r="BB129" s="0" t="s">
        <v>154</v>
      </c>
    </row>
    <row r="130" customFormat="false" ht="12" hidden="false" customHeight="true" outlineLevel="0" collapsed="false">
      <c r="A130" s="40" t="n">
        <v>101</v>
      </c>
      <c r="B130" s="35"/>
      <c r="C130" s="46"/>
      <c r="D130" s="36"/>
      <c r="E130" s="35"/>
      <c r="F130" s="16"/>
      <c r="G130" s="38"/>
      <c r="H130" s="38"/>
      <c r="I130" s="44"/>
      <c r="J130" s="44"/>
      <c r="BB130" s="0" t="s">
        <v>155</v>
      </c>
    </row>
    <row r="131" customFormat="false" ht="12" hidden="false" customHeight="true" outlineLevel="0" collapsed="false">
      <c r="A131" s="40" t="n">
        <v>102</v>
      </c>
      <c r="B131" s="35"/>
      <c r="C131" s="46"/>
      <c r="D131" s="36"/>
      <c r="E131" s="35"/>
      <c r="F131" s="16"/>
      <c r="G131" s="38"/>
      <c r="H131" s="38"/>
      <c r="I131" s="44"/>
      <c r="J131" s="44"/>
      <c r="BB131" s="0" t="s">
        <v>156</v>
      </c>
    </row>
    <row r="132" customFormat="false" ht="12" hidden="false" customHeight="true" outlineLevel="0" collapsed="false">
      <c r="A132" s="40" t="n">
        <v>103</v>
      </c>
      <c r="B132" s="35"/>
      <c r="C132" s="46"/>
      <c r="D132" s="36"/>
      <c r="E132" s="35"/>
      <c r="F132" s="16"/>
      <c r="G132" s="38"/>
      <c r="H132" s="38"/>
      <c r="I132" s="44"/>
      <c r="J132" s="44"/>
      <c r="BB132" s="0" t="s">
        <v>157</v>
      </c>
    </row>
    <row r="133" customFormat="false" ht="12" hidden="false" customHeight="true" outlineLevel="0" collapsed="false">
      <c r="A133" s="40" t="n">
        <v>104</v>
      </c>
      <c r="B133" s="35"/>
      <c r="C133" s="46"/>
      <c r="D133" s="36"/>
      <c r="E133" s="35"/>
      <c r="F133" s="16"/>
      <c r="G133" s="38"/>
      <c r="H133" s="38"/>
      <c r="I133" s="44"/>
      <c r="J133" s="44"/>
      <c r="BB133" s="0" t="s">
        <v>158</v>
      </c>
    </row>
    <row r="134" customFormat="false" ht="12" hidden="false" customHeight="true" outlineLevel="0" collapsed="false">
      <c r="A134" s="40" t="n">
        <v>105</v>
      </c>
      <c r="B134" s="35"/>
      <c r="C134" s="46"/>
      <c r="D134" s="36"/>
      <c r="E134" s="35"/>
      <c r="F134" s="16"/>
      <c r="G134" s="38"/>
      <c r="H134" s="38"/>
      <c r="I134" s="44"/>
      <c r="J134" s="44"/>
      <c r="BB134" s="0" t="s">
        <v>159</v>
      </c>
    </row>
    <row r="135" customFormat="false" ht="12" hidden="false" customHeight="true" outlineLevel="0" collapsed="false">
      <c r="A135" s="40" t="n">
        <v>106</v>
      </c>
      <c r="B135" s="35"/>
      <c r="C135" s="46"/>
      <c r="D135" s="36"/>
      <c r="E135" s="35"/>
      <c r="F135" s="16"/>
      <c r="G135" s="38"/>
      <c r="H135" s="38"/>
      <c r="I135" s="44"/>
      <c r="J135" s="44"/>
      <c r="BB135" s="0" t="s">
        <v>160</v>
      </c>
    </row>
    <row r="136" customFormat="false" ht="12" hidden="false" customHeight="true" outlineLevel="0" collapsed="false">
      <c r="A136" s="40" t="n">
        <v>107</v>
      </c>
      <c r="B136" s="35"/>
      <c r="C136" s="46"/>
      <c r="D136" s="36"/>
      <c r="E136" s="35"/>
      <c r="F136" s="16"/>
      <c r="G136" s="38"/>
      <c r="H136" s="38"/>
      <c r="I136" s="44"/>
      <c r="J136" s="44"/>
      <c r="BB136" s="0" t="s">
        <v>161</v>
      </c>
    </row>
    <row r="137" customFormat="false" ht="12" hidden="false" customHeight="true" outlineLevel="0" collapsed="false">
      <c r="A137" s="40" t="n">
        <v>108</v>
      </c>
      <c r="B137" s="35"/>
      <c r="C137" s="46"/>
      <c r="D137" s="36"/>
      <c r="E137" s="35"/>
      <c r="F137" s="16"/>
      <c r="G137" s="38"/>
      <c r="H137" s="38"/>
      <c r="I137" s="44"/>
      <c r="J137" s="44"/>
      <c r="BB137" s="0" t="s">
        <v>162</v>
      </c>
    </row>
    <row r="138" customFormat="false" ht="12" hidden="false" customHeight="true" outlineLevel="0" collapsed="false">
      <c r="A138" s="40" t="n">
        <v>109</v>
      </c>
      <c r="B138" s="35"/>
      <c r="C138" s="46"/>
      <c r="D138" s="36"/>
      <c r="E138" s="35"/>
      <c r="F138" s="16"/>
      <c r="G138" s="38"/>
      <c r="H138" s="38"/>
      <c r="I138" s="44"/>
      <c r="J138" s="44"/>
      <c r="BB138" s="0" t="s">
        <v>163</v>
      </c>
    </row>
    <row r="139" customFormat="false" ht="12" hidden="false" customHeight="true" outlineLevel="0" collapsed="false">
      <c r="A139" s="40" t="n">
        <v>110</v>
      </c>
      <c r="B139" s="35"/>
      <c r="C139" s="46"/>
      <c r="D139" s="36"/>
      <c r="E139" s="35"/>
      <c r="F139" s="16"/>
      <c r="G139" s="38"/>
      <c r="H139" s="38"/>
      <c r="I139" s="44"/>
      <c r="J139" s="44"/>
      <c r="BB139" s="0" t="s">
        <v>164</v>
      </c>
    </row>
    <row r="140" customFormat="false" ht="12" hidden="false" customHeight="true" outlineLevel="0" collapsed="false">
      <c r="A140" s="40" t="n">
        <v>111</v>
      </c>
      <c r="B140" s="35"/>
      <c r="C140" s="46"/>
      <c r="D140" s="36"/>
      <c r="E140" s="35"/>
      <c r="F140" s="16"/>
      <c r="G140" s="38"/>
      <c r="H140" s="38"/>
      <c r="I140" s="44"/>
      <c r="J140" s="44"/>
      <c r="BB140" s="0" t="s">
        <v>165</v>
      </c>
    </row>
    <row r="141" customFormat="false" ht="12" hidden="false" customHeight="true" outlineLevel="0" collapsed="false">
      <c r="A141" s="40" t="n">
        <v>112</v>
      </c>
      <c r="B141" s="35"/>
      <c r="C141" s="46"/>
      <c r="D141" s="36"/>
      <c r="E141" s="35"/>
      <c r="F141" s="16"/>
      <c r="G141" s="38"/>
      <c r="H141" s="38"/>
      <c r="I141" s="44"/>
      <c r="J141" s="44"/>
      <c r="BB141" s="0" t="s">
        <v>166</v>
      </c>
    </row>
    <row r="142" customFormat="false" ht="12" hidden="false" customHeight="true" outlineLevel="0" collapsed="false">
      <c r="A142" s="40" t="n">
        <v>113</v>
      </c>
      <c r="B142" s="35"/>
      <c r="C142" s="46"/>
      <c r="D142" s="36"/>
      <c r="E142" s="35"/>
      <c r="F142" s="16"/>
      <c r="G142" s="38"/>
      <c r="H142" s="38"/>
      <c r="I142" s="44"/>
      <c r="J142" s="44"/>
      <c r="BB142" s="0" t="s">
        <v>167</v>
      </c>
    </row>
    <row r="143" customFormat="false" ht="12" hidden="false" customHeight="true" outlineLevel="0" collapsed="false">
      <c r="A143" s="40" t="n">
        <v>114</v>
      </c>
      <c r="B143" s="35"/>
      <c r="C143" s="46"/>
      <c r="D143" s="36"/>
      <c r="E143" s="35"/>
      <c r="F143" s="16"/>
      <c r="G143" s="38"/>
      <c r="H143" s="38"/>
      <c r="I143" s="44"/>
      <c r="J143" s="44"/>
      <c r="BB143" s="0" t="s">
        <v>168</v>
      </c>
    </row>
    <row r="144" customFormat="false" ht="12" hidden="false" customHeight="true" outlineLevel="0" collapsed="false">
      <c r="A144" s="40" t="n">
        <v>115</v>
      </c>
      <c r="B144" s="35"/>
      <c r="C144" s="46"/>
      <c r="D144" s="36"/>
      <c r="E144" s="35"/>
      <c r="F144" s="16"/>
      <c r="G144" s="38"/>
      <c r="H144" s="38"/>
      <c r="I144" s="44"/>
      <c r="J144" s="44"/>
      <c r="BB144" s="0" t="s">
        <v>169</v>
      </c>
    </row>
    <row r="145" customFormat="false" ht="12" hidden="false" customHeight="true" outlineLevel="0" collapsed="false">
      <c r="A145" s="40" t="n">
        <v>116</v>
      </c>
      <c r="B145" s="35"/>
      <c r="C145" s="46"/>
      <c r="D145" s="36"/>
      <c r="E145" s="35"/>
      <c r="F145" s="16"/>
      <c r="G145" s="38"/>
      <c r="H145" s="38"/>
      <c r="I145" s="44"/>
      <c r="J145" s="44"/>
      <c r="BB145" s="0" t="s">
        <v>170</v>
      </c>
    </row>
    <row r="146" customFormat="false" ht="12" hidden="false" customHeight="true" outlineLevel="0" collapsed="false">
      <c r="A146" s="40" t="n">
        <v>117</v>
      </c>
      <c r="B146" s="35"/>
      <c r="C146" s="46"/>
      <c r="D146" s="36"/>
      <c r="E146" s="35"/>
      <c r="F146" s="16"/>
      <c r="G146" s="38"/>
      <c r="H146" s="38"/>
      <c r="I146" s="44"/>
      <c r="J146" s="44"/>
      <c r="BB146" s="0" t="s">
        <v>171</v>
      </c>
    </row>
    <row r="147" customFormat="false" ht="12" hidden="false" customHeight="true" outlineLevel="0" collapsed="false">
      <c r="A147" s="40" t="n">
        <v>118</v>
      </c>
      <c r="B147" s="35"/>
      <c r="C147" s="46"/>
      <c r="D147" s="36"/>
      <c r="E147" s="35"/>
      <c r="F147" s="16"/>
      <c r="G147" s="38"/>
      <c r="H147" s="38"/>
      <c r="I147" s="44"/>
      <c r="J147" s="44"/>
      <c r="BB147" s="0" t="s">
        <v>172</v>
      </c>
    </row>
    <row r="148" customFormat="false" ht="12" hidden="false" customHeight="true" outlineLevel="0" collapsed="false">
      <c r="A148" s="40" t="n">
        <v>119</v>
      </c>
      <c r="B148" s="35"/>
      <c r="C148" s="46"/>
      <c r="D148" s="36"/>
      <c r="E148" s="35"/>
      <c r="F148" s="16"/>
      <c r="G148" s="38"/>
      <c r="H148" s="38"/>
      <c r="I148" s="44"/>
      <c r="J148" s="44"/>
      <c r="BB148" s="0" t="s">
        <v>173</v>
      </c>
    </row>
    <row r="149" customFormat="false" ht="12" hidden="false" customHeight="true" outlineLevel="0" collapsed="false">
      <c r="A149" s="40" t="n">
        <v>120</v>
      </c>
      <c r="B149" s="35"/>
      <c r="C149" s="46"/>
      <c r="D149" s="36"/>
      <c r="E149" s="35"/>
      <c r="F149" s="16"/>
      <c r="G149" s="38"/>
      <c r="H149" s="38"/>
      <c r="I149" s="44"/>
      <c r="J149" s="44"/>
      <c r="BB149" s="0" t="s">
        <v>174</v>
      </c>
    </row>
    <row r="150" customFormat="false" ht="12" hidden="false" customHeight="true" outlineLevel="0" collapsed="false">
      <c r="A150" s="40" t="n">
        <v>121</v>
      </c>
      <c r="B150" s="35"/>
      <c r="C150" s="46"/>
      <c r="D150" s="36"/>
      <c r="E150" s="35"/>
      <c r="F150" s="16"/>
      <c r="G150" s="38"/>
      <c r="H150" s="38"/>
      <c r="I150" s="44"/>
      <c r="J150" s="44"/>
      <c r="BB150" s="0" t="s">
        <v>175</v>
      </c>
    </row>
    <row r="151" customFormat="false" ht="12" hidden="false" customHeight="true" outlineLevel="0" collapsed="false">
      <c r="A151" s="40" t="n">
        <v>122</v>
      </c>
      <c r="B151" s="35"/>
      <c r="C151" s="46"/>
      <c r="D151" s="36"/>
      <c r="E151" s="35"/>
      <c r="F151" s="16"/>
      <c r="G151" s="38"/>
      <c r="H151" s="38"/>
      <c r="I151" s="44"/>
      <c r="J151" s="44"/>
      <c r="BB151" s="0" t="s">
        <v>176</v>
      </c>
    </row>
    <row r="152" customFormat="false" ht="12" hidden="false" customHeight="true" outlineLevel="0" collapsed="false">
      <c r="A152" s="40" t="n">
        <v>123</v>
      </c>
      <c r="B152" s="35"/>
      <c r="C152" s="46"/>
      <c r="D152" s="36"/>
      <c r="E152" s="35"/>
      <c r="F152" s="16"/>
      <c r="G152" s="38"/>
      <c r="H152" s="38"/>
      <c r="I152" s="44"/>
      <c r="J152" s="44"/>
      <c r="BB152" s="0" t="s">
        <v>177</v>
      </c>
    </row>
    <row r="153" customFormat="false" ht="12" hidden="false" customHeight="true" outlineLevel="0" collapsed="false">
      <c r="A153" s="40" t="n">
        <v>124</v>
      </c>
      <c r="B153" s="35"/>
      <c r="C153" s="46"/>
      <c r="D153" s="36"/>
      <c r="E153" s="35"/>
      <c r="F153" s="16"/>
      <c r="G153" s="38"/>
      <c r="H153" s="38"/>
      <c r="I153" s="44"/>
      <c r="J153" s="44"/>
      <c r="BB153" s="0" t="s">
        <v>178</v>
      </c>
    </row>
    <row r="154" customFormat="false" ht="12" hidden="false" customHeight="true" outlineLevel="0" collapsed="false">
      <c r="A154" s="40" t="n">
        <v>125</v>
      </c>
      <c r="B154" s="35"/>
      <c r="C154" s="46"/>
      <c r="D154" s="36"/>
      <c r="E154" s="35"/>
      <c r="F154" s="16"/>
      <c r="G154" s="38"/>
      <c r="H154" s="38"/>
      <c r="I154" s="44"/>
      <c r="J154" s="44"/>
      <c r="BB154" s="0" t="s">
        <v>179</v>
      </c>
    </row>
    <row r="155" customFormat="false" ht="12" hidden="false" customHeight="true" outlineLevel="0" collapsed="false">
      <c r="A155" s="40" t="n">
        <v>126</v>
      </c>
      <c r="B155" s="35"/>
      <c r="C155" s="46"/>
      <c r="D155" s="36"/>
      <c r="E155" s="35"/>
      <c r="F155" s="16"/>
      <c r="G155" s="38"/>
      <c r="H155" s="38"/>
      <c r="I155" s="44"/>
      <c r="J155" s="44"/>
      <c r="BB155" s="0" t="s">
        <v>180</v>
      </c>
    </row>
    <row r="156" customFormat="false" ht="12" hidden="false" customHeight="true" outlineLevel="0" collapsed="false">
      <c r="A156" s="40" t="n">
        <v>127</v>
      </c>
      <c r="B156" s="35"/>
      <c r="C156" s="46"/>
      <c r="D156" s="36"/>
      <c r="E156" s="35"/>
      <c r="F156" s="16"/>
      <c r="G156" s="38"/>
      <c r="H156" s="38"/>
      <c r="I156" s="44"/>
      <c r="J156" s="44"/>
      <c r="BB156" s="0" t="s">
        <v>181</v>
      </c>
    </row>
    <row r="157" customFormat="false" ht="12" hidden="false" customHeight="true" outlineLevel="0" collapsed="false">
      <c r="A157" s="40" t="n">
        <v>128</v>
      </c>
      <c r="B157" s="35"/>
      <c r="C157" s="46"/>
      <c r="D157" s="36"/>
      <c r="E157" s="35"/>
      <c r="F157" s="16"/>
      <c r="G157" s="38"/>
      <c r="H157" s="38"/>
      <c r="I157" s="44"/>
      <c r="J157" s="44"/>
      <c r="BB157" s="0" t="s">
        <v>182</v>
      </c>
    </row>
    <row r="158" customFormat="false" ht="12" hidden="false" customHeight="true" outlineLevel="0" collapsed="false">
      <c r="A158" s="40" t="n">
        <v>129</v>
      </c>
      <c r="B158" s="35"/>
      <c r="C158" s="46"/>
      <c r="D158" s="36"/>
      <c r="E158" s="35"/>
      <c r="F158" s="16"/>
      <c r="G158" s="38"/>
      <c r="H158" s="38"/>
      <c r="I158" s="44"/>
      <c r="J158" s="44"/>
      <c r="BB158" s="0" t="s">
        <v>183</v>
      </c>
    </row>
    <row r="159" customFormat="false" ht="12" hidden="false" customHeight="true" outlineLevel="0" collapsed="false">
      <c r="A159" s="40" t="n">
        <v>130</v>
      </c>
      <c r="B159" s="35"/>
      <c r="C159" s="46"/>
      <c r="D159" s="36"/>
      <c r="E159" s="35"/>
      <c r="F159" s="16"/>
      <c r="G159" s="38"/>
      <c r="H159" s="38"/>
      <c r="I159" s="44"/>
      <c r="J159" s="44"/>
      <c r="BB159" s="0" t="s">
        <v>184</v>
      </c>
    </row>
    <row r="160" customFormat="false" ht="12" hidden="false" customHeight="true" outlineLevel="0" collapsed="false">
      <c r="A160" s="40" t="n">
        <v>131</v>
      </c>
      <c r="B160" s="35"/>
      <c r="C160" s="46"/>
      <c r="D160" s="36"/>
      <c r="E160" s="35"/>
      <c r="F160" s="16"/>
      <c r="G160" s="38"/>
      <c r="H160" s="38"/>
      <c r="I160" s="44"/>
      <c r="J160" s="44"/>
      <c r="BB160" s="0" t="s">
        <v>185</v>
      </c>
    </row>
    <row r="161" customFormat="false" ht="12" hidden="false" customHeight="true" outlineLevel="0" collapsed="false">
      <c r="A161" s="40" t="n">
        <v>132</v>
      </c>
      <c r="B161" s="35"/>
      <c r="C161" s="46"/>
      <c r="D161" s="36"/>
      <c r="E161" s="35"/>
      <c r="F161" s="16"/>
      <c r="G161" s="38"/>
      <c r="H161" s="38"/>
      <c r="I161" s="44"/>
      <c r="J161" s="44"/>
      <c r="BB161" s="0" t="s">
        <v>186</v>
      </c>
    </row>
    <row r="162" customFormat="false" ht="12" hidden="false" customHeight="true" outlineLevel="0" collapsed="false">
      <c r="A162" s="40" t="n">
        <v>133</v>
      </c>
      <c r="B162" s="35"/>
      <c r="C162" s="46"/>
      <c r="D162" s="36"/>
      <c r="E162" s="35"/>
      <c r="F162" s="16"/>
      <c r="G162" s="38"/>
      <c r="H162" s="38"/>
      <c r="I162" s="44"/>
      <c r="J162" s="44"/>
      <c r="BB162" s="0" t="s">
        <v>187</v>
      </c>
    </row>
    <row r="163" customFormat="false" ht="12" hidden="false" customHeight="true" outlineLevel="0" collapsed="false">
      <c r="A163" s="40" t="n">
        <v>134</v>
      </c>
      <c r="B163" s="35"/>
      <c r="C163" s="46"/>
      <c r="D163" s="36"/>
      <c r="E163" s="35"/>
      <c r="F163" s="16"/>
      <c r="G163" s="38"/>
      <c r="H163" s="38"/>
      <c r="I163" s="44"/>
      <c r="J163" s="44"/>
      <c r="BB163" s="0" t="s">
        <v>188</v>
      </c>
    </row>
    <row r="164" customFormat="false" ht="12" hidden="false" customHeight="true" outlineLevel="0" collapsed="false">
      <c r="A164" s="40" t="n">
        <v>135</v>
      </c>
      <c r="B164" s="35"/>
      <c r="C164" s="46"/>
      <c r="D164" s="36"/>
      <c r="E164" s="35"/>
      <c r="F164" s="16"/>
      <c r="G164" s="38"/>
      <c r="H164" s="38"/>
      <c r="I164" s="44"/>
      <c r="J164" s="44"/>
      <c r="BB164" s="0" t="s">
        <v>189</v>
      </c>
    </row>
    <row r="165" customFormat="false" ht="12" hidden="false" customHeight="true" outlineLevel="0" collapsed="false">
      <c r="A165" s="40" t="n">
        <v>136</v>
      </c>
      <c r="B165" s="35"/>
      <c r="C165" s="46"/>
      <c r="D165" s="36"/>
      <c r="E165" s="35"/>
      <c r="F165" s="16"/>
      <c r="G165" s="38"/>
      <c r="H165" s="38"/>
      <c r="I165" s="44"/>
      <c r="J165" s="44"/>
      <c r="BB165" s="0" t="s">
        <v>190</v>
      </c>
    </row>
    <row r="166" customFormat="false" ht="12" hidden="false" customHeight="true" outlineLevel="0" collapsed="false">
      <c r="A166" s="40" t="n">
        <v>137</v>
      </c>
      <c r="B166" s="35"/>
      <c r="C166" s="46"/>
      <c r="D166" s="36"/>
      <c r="E166" s="35"/>
      <c r="F166" s="16"/>
      <c r="G166" s="38"/>
      <c r="H166" s="38"/>
      <c r="I166" s="44"/>
      <c r="J166" s="44"/>
      <c r="BB166" s="0" t="s">
        <v>191</v>
      </c>
    </row>
    <row r="167" customFormat="false" ht="12" hidden="false" customHeight="true" outlineLevel="0" collapsed="false">
      <c r="A167" s="40" t="n">
        <v>138</v>
      </c>
      <c r="B167" s="35"/>
      <c r="C167" s="46"/>
      <c r="D167" s="36"/>
      <c r="E167" s="35"/>
      <c r="F167" s="16"/>
      <c r="G167" s="38"/>
      <c r="H167" s="38"/>
      <c r="I167" s="44"/>
      <c r="J167" s="44"/>
      <c r="BB167" s="0" t="s">
        <v>192</v>
      </c>
    </row>
    <row r="168" customFormat="false" ht="12" hidden="false" customHeight="true" outlineLevel="0" collapsed="false">
      <c r="A168" s="40" t="n">
        <v>139</v>
      </c>
      <c r="B168" s="35"/>
      <c r="C168" s="46"/>
      <c r="D168" s="36"/>
      <c r="E168" s="35"/>
      <c r="F168" s="16"/>
      <c r="G168" s="38"/>
      <c r="H168" s="38"/>
      <c r="I168" s="44"/>
      <c r="J168" s="44"/>
      <c r="BB168" s="0" t="s">
        <v>193</v>
      </c>
    </row>
    <row r="169" customFormat="false" ht="12" hidden="false" customHeight="true" outlineLevel="0" collapsed="false">
      <c r="A169" s="40" t="n">
        <v>140</v>
      </c>
      <c r="B169" s="35"/>
      <c r="C169" s="46"/>
      <c r="D169" s="36"/>
      <c r="E169" s="35"/>
      <c r="F169" s="16"/>
      <c r="G169" s="38"/>
      <c r="H169" s="38"/>
      <c r="I169" s="44"/>
      <c r="J169" s="44"/>
      <c r="BB169" s="0" t="s">
        <v>194</v>
      </c>
    </row>
    <row r="170" customFormat="false" ht="12" hidden="false" customHeight="true" outlineLevel="0" collapsed="false">
      <c r="A170" s="40" t="n">
        <v>141</v>
      </c>
      <c r="B170" s="35"/>
      <c r="C170" s="46"/>
      <c r="D170" s="36"/>
      <c r="E170" s="35"/>
      <c r="F170" s="16"/>
      <c r="G170" s="38"/>
      <c r="H170" s="38"/>
      <c r="I170" s="44"/>
      <c r="J170" s="44"/>
      <c r="BB170" s="0" t="s">
        <v>195</v>
      </c>
    </row>
    <row r="171" customFormat="false" ht="12" hidden="false" customHeight="true" outlineLevel="0" collapsed="false">
      <c r="A171" s="40" t="n">
        <v>142</v>
      </c>
      <c r="B171" s="35"/>
      <c r="C171" s="46"/>
      <c r="D171" s="36"/>
      <c r="E171" s="35"/>
      <c r="F171" s="16"/>
      <c r="G171" s="38"/>
      <c r="H171" s="38"/>
      <c r="I171" s="44"/>
      <c r="J171" s="44"/>
      <c r="BB171" s="0" t="s">
        <v>196</v>
      </c>
    </row>
    <row r="172" customFormat="false" ht="12" hidden="false" customHeight="true" outlineLevel="0" collapsed="false">
      <c r="A172" s="40" t="n">
        <v>143</v>
      </c>
      <c r="B172" s="35"/>
      <c r="C172" s="46"/>
      <c r="D172" s="36"/>
      <c r="E172" s="35"/>
      <c r="F172" s="16"/>
      <c r="G172" s="38"/>
      <c r="H172" s="38"/>
      <c r="I172" s="44"/>
      <c r="J172" s="44"/>
      <c r="BB172" s="0" t="s">
        <v>197</v>
      </c>
    </row>
    <row r="173" customFormat="false" ht="12" hidden="false" customHeight="true" outlineLevel="0" collapsed="false">
      <c r="A173" s="40" t="n">
        <v>144</v>
      </c>
      <c r="B173" s="35"/>
      <c r="C173" s="46"/>
      <c r="D173" s="36"/>
      <c r="E173" s="35"/>
      <c r="F173" s="16"/>
      <c r="G173" s="38"/>
      <c r="H173" s="38"/>
      <c r="I173" s="44"/>
      <c r="J173" s="44"/>
      <c r="BB173" s="0" t="s">
        <v>198</v>
      </c>
    </row>
    <row r="174" customFormat="false" ht="12" hidden="false" customHeight="true" outlineLevel="0" collapsed="false">
      <c r="A174" s="40" t="n">
        <v>145</v>
      </c>
      <c r="B174" s="35"/>
      <c r="C174" s="46"/>
      <c r="D174" s="36"/>
      <c r="E174" s="35"/>
      <c r="F174" s="16"/>
      <c r="G174" s="38"/>
      <c r="H174" s="38"/>
      <c r="I174" s="44"/>
      <c r="J174" s="44"/>
      <c r="BB174" s="0" t="s">
        <v>199</v>
      </c>
    </row>
    <row r="175" customFormat="false" ht="12" hidden="false" customHeight="true" outlineLevel="0" collapsed="false">
      <c r="A175" s="40" t="n">
        <v>146</v>
      </c>
      <c r="B175" s="35"/>
      <c r="C175" s="46"/>
      <c r="D175" s="36"/>
      <c r="E175" s="35"/>
      <c r="F175" s="16"/>
      <c r="G175" s="38"/>
      <c r="H175" s="38"/>
      <c r="I175" s="44"/>
      <c r="J175" s="44"/>
      <c r="BB175" s="0" t="s">
        <v>200</v>
      </c>
    </row>
    <row r="176" customFormat="false" ht="12" hidden="false" customHeight="true" outlineLevel="0" collapsed="false">
      <c r="A176" s="40" t="n">
        <v>147</v>
      </c>
      <c r="B176" s="35"/>
      <c r="C176" s="46"/>
      <c r="D176" s="36"/>
      <c r="E176" s="35"/>
      <c r="F176" s="16"/>
      <c r="G176" s="38"/>
      <c r="H176" s="38"/>
      <c r="I176" s="44"/>
      <c r="J176" s="44"/>
      <c r="BB176" s="0" t="s">
        <v>201</v>
      </c>
    </row>
    <row r="177" customFormat="false" ht="12" hidden="false" customHeight="true" outlineLevel="0" collapsed="false">
      <c r="A177" s="40" t="n">
        <v>148</v>
      </c>
      <c r="B177" s="35"/>
      <c r="C177" s="46"/>
      <c r="D177" s="36"/>
      <c r="E177" s="35"/>
      <c r="F177" s="16"/>
      <c r="G177" s="38"/>
      <c r="H177" s="38"/>
      <c r="I177" s="44"/>
      <c r="J177" s="44"/>
      <c r="BB177" s="0" t="s">
        <v>202</v>
      </c>
    </row>
    <row r="178" customFormat="false" ht="12" hidden="false" customHeight="true" outlineLevel="0" collapsed="false">
      <c r="A178" s="40" t="n">
        <v>149</v>
      </c>
      <c r="B178" s="35"/>
      <c r="C178" s="46"/>
      <c r="D178" s="36"/>
      <c r="E178" s="35"/>
      <c r="F178" s="16"/>
      <c r="G178" s="38"/>
      <c r="H178" s="38"/>
      <c r="I178" s="44"/>
      <c r="J178" s="44"/>
      <c r="BB178" s="0" t="s">
        <v>203</v>
      </c>
    </row>
    <row r="179" customFormat="false" ht="12" hidden="false" customHeight="true" outlineLevel="0" collapsed="false">
      <c r="A179" s="40" t="n">
        <v>150</v>
      </c>
      <c r="B179" s="35"/>
      <c r="C179" s="46"/>
      <c r="D179" s="36"/>
      <c r="E179" s="35"/>
      <c r="F179" s="16"/>
      <c r="G179" s="38"/>
      <c r="H179" s="38"/>
      <c r="I179" s="44"/>
      <c r="J179" s="44"/>
      <c r="BB179" s="0" t="s">
        <v>204</v>
      </c>
    </row>
    <row r="180" customFormat="false" ht="12" hidden="false" customHeight="true" outlineLevel="0" collapsed="false">
      <c r="A180" s="40" t="n">
        <v>151</v>
      </c>
      <c r="B180" s="35"/>
      <c r="C180" s="46"/>
      <c r="D180" s="36"/>
      <c r="E180" s="35"/>
      <c r="F180" s="16"/>
      <c r="G180" s="38"/>
      <c r="H180" s="38"/>
      <c r="I180" s="44"/>
      <c r="J180" s="44"/>
      <c r="BB180" s="0" t="s">
        <v>205</v>
      </c>
    </row>
    <row r="181" customFormat="false" ht="12" hidden="false" customHeight="true" outlineLevel="0" collapsed="false">
      <c r="A181" s="40" t="n">
        <v>152</v>
      </c>
      <c r="B181" s="35"/>
      <c r="C181" s="46"/>
      <c r="D181" s="36"/>
      <c r="E181" s="35"/>
      <c r="F181" s="16"/>
      <c r="G181" s="38"/>
      <c r="H181" s="38"/>
      <c r="I181" s="44"/>
      <c r="J181" s="44"/>
      <c r="BB181" s="0" t="s">
        <v>206</v>
      </c>
    </row>
    <row r="182" customFormat="false" ht="12" hidden="false" customHeight="true" outlineLevel="0" collapsed="false">
      <c r="A182" s="40" t="n">
        <v>153</v>
      </c>
      <c r="B182" s="35"/>
      <c r="C182" s="46"/>
      <c r="D182" s="36"/>
      <c r="E182" s="35"/>
      <c r="F182" s="16"/>
      <c r="G182" s="38"/>
      <c r="H182" s="38"/>
      <c r="I182" s="44"/>
      <c r="J182" s="44"/>
      <c r="BB182" s="0" t="s">
        <v>207</v>
      </c>
    </row>
    <row r="183" customFormat="false" ht="12" hidden="false" customHeight="true" outlineLevel="0" collapsed="false">
      <c r="A183" s="40" t="n">
        <v>154</v>
      </c>
      <c r="B183" s="35"/>
      <c r="C183" s="46"/>
      <c r="D183" s="36"/>
      <c r="E183" s="35"/>
      <c r="F183" s="16"/>
      <c r="G183" s="38"/>
      <c r="H183" s="38"/>
      <c r="I183" s="44"/>
      <c r="J183" s="44"/>
      <c r="BB183" s="0" t="s">
        <v>208</v>
      </c>
    </row>
    <row r="184" customFormat="false" ht="12" hidden="false" customHeight="true" outlineLevel="0" collapsed="false">
      <c r="A184" s="40" t="n">
        <v>155</v>
      </c>
      <c r="B184" s="35"/>
      <c r="C184" s="46"/>
      <c r="D184" s="36"/>
      <c r="E184" s="35"/>
      <c r="F184" s="16"/>
      <c r="G184" s="38"/>
      <c r="H184" s="38"/>
      <c r="I184" s="44"/>
      <c r="J184" s="44"/>
      <c r="BB184" s="0" t="s">
        <v>209</v>
      </c>
    </row>
    <row r="185" customFormat="false" ht="12" hidden="false" customHeight="true" outlineLevel="0" collapsed="false">
      <c r="A185" s="40" t="n">
        <v>156</v>
      </c>
      <c r="B185" s="35"/>
      <c r="C185" s="46"/>
      <c r="D185" s="36"/>
      <c r="E185" s="35"/>
      <c r="F185" s="16"/>
      <c r="G185" s="38"/>
      <c r="H185" s="38"/>
      <c r="I185" s="44"/>
      <c r="J185" s="44"/>
      <c r="BB185" s="0" t="s">
        <v>210</v>
      </c>
    </row>
    <row r="186" customFormat="false" ht="12" hidden="false" customHeight="true" outlineLevel="0" collapsed="false">
      <c r="A186" s="40" t="n">
        <v>157</v>
      </c>
      <c r="B186" s="35"/>
      <c r="C186" s="46"/>
      <c r="D186" s="36"/>
      <c r="E186" s="35"/>
      <c r="F186" s="16"/>
      <c r="G186" s="38"/>
      <c r="H186" s="38"/>
      <c r="I186" s="44"/>
      <c r="J186" s="44"/>
      <c r="BB186" s="0" t="s">
        <v>211</v>
      </c>
    </row>
    <row r="187" customFormat="false" ht="12" hidden="false" customHeight="true" outlineLevel="0" collapsed="false">
      <c r="A187" s="40" t="n">
        <v>158</v>
      </c>
      <c r="B187" s="35"/>
      <c r="C187" s="46"/>
      <c r="D187" s="36"/>
      <c r="E187" s="35"/>
      <c r="F187" s="16"/>
      <c r="G187" s="38"/>
      <c r="H187" s="38"/>
      <c r="I187" s="44"/>
      <c r="J187" s="44"/>
      <c r="BB187" s="0" t="s">
        <v>212</v>
      </c>
    </row>
    <row r="188" customFormat="false" ht="12" hidden="false" customHeight="true" outlineLevel="0" collapsed="false">
      <c r="A188" s="40" t="n">
        <v>159</v>
      </c>
      <c r="B188" s="35"/>
      <c r="C188" s="46"/>
      <c r="D188" s="36"/>
      <c r="E188" s="35"/>
      <c r="F188" s="16"/>
      <c r="G188" s="38"/>
      <c r="H188" s="38"/>
      <c r="I188" s="44"/>
      <c r="J188" s="44"/>
      <c r="BB188" s="0" t="s">
        <v>213</v>
      </c>
    </row>
    <row r="189" customFormat="false" ht="12" hidden="false" customHeight="true" outlineLevel="0" collapsed="false">
      <c r="A189" s="40" t="n">
        <v>160</v>
      </c>
      <c r="B189" s="35"/>
      <c r="C189" s="46"/>
      <c r="D189" s="36"/>
      <c r="E189" s="35"/>
      <c r="F189" s="16"/>
      <c r="G189" s="38"/>
      <c r="H189" s="38"/>
      <c r="I189" s="44"/>
      <c r="J189" s="44"/>
      <c r="BB189" s="0" t="s">
        <v>214</v>
      </c>
    </row>
    <row r="190" customFormat="false" ht="12" hidden="false" customHeight="true" outlineLevel="0" collapsed="false">
      <c r="A190" s="40" t="n">
        <v>161</v>
      </c>
      <c r="B190" s="35"/>
      <c r="C190" s="46"/>
      <c r="D190" s="36"/>
      <c r="E190" s="35"/>
      <c r="F190" s="16"/>
      <c r="G190" s="38"/>
      <c r="H190" s="38"/>
      <c r="I190" s="44"/>
      <c r="J190" s="44"/>
      <c r="BB190" s="0" t="s">
        <v>215</v>
      </c>
    </row>
    <row r="191" customFormat="false" ht="12" hidden="false" customHeight="true" outlineLevel="0" collapsed="false">
      <c r="A191" s="40" t="n">
        <v>162</v>
      </c>
      <c r="B191" s="35"/>
      <c r="C191" s="46"/>
      <c r="D191" s="36"/>
      <c r="E191" s="35"/>
      <c r="F191" s="16"/>
      <c r="G191" s="38"/>
      <c r="H191" s="38"/>
      <c r="I191" s="44"/>
      <c r="J191" s="44"/>
      <c r="BB191" s="0" t="s">
        <v>216</v>
      </c>
    </row>
    <row r="192" customFormat="false" ht="12" hidden="false" customHeight="true" outlineLevel="0" collapsed="false">
      <c r="A192" s="40" t="n">
        <v>163</v>
      </c>
      <c r="B192" s="35"/>
      <c r="C192" s="46"/>
      <c r="D192" s="36"/>
      <c r="E192" s="35"/>
      <c r="F192" s="16"/>
      <c r="G192" s="38"/>
      <c r="H192" s="38"/>
      <c r="I192" s="44"/>
      <c r="J192" s="44"/>
      <c r="BB192" s="0" t="s">
        <v>217</v>
      </c>
    </row>
    <row r="193" customFormat="false" ht="12" hidden="false" customHeight="true" outlineLevel="0" collapsed="false">
      <c r="A193" s="40" t="n">
        <v>164</v>
      </c>
      <c r="B193" s="35"/>
      <c r="C193" s="46"/>
      <c r="D193" s="36"/>
      <c r="E193" s="35"/>
      <c r="F193" s="16"/>
      <c r="G193" s="38"/>
      <c r="H193" s="38"/>
      <c r="I193" s="44"/>
      <c r="J193" s="44"/>
      <c r="BB193" s="0" t="s">
        <v>218</v>
      </c>
    </row>
    <row r="194" customFormat="false" ht="12" hidden="false" customHeight="true" outlineLevel="0" collapsed="false">
      <c r="A194" s="40" t="n">
        <v>165</v>
      </c>
      <c r="B194" s="35"/>
      <c r="C194" s="46"/>
      <c r="D194" s="36"/>
      <c r="E194" s="35"/>
      <c r="F194" s="16"/>
      <c r="G194" s="38"/>
      <c r="H194" s="38"/>
      <c r="I194" s="44"/>
      <c r="J194" s="44"/>
      <c r="BB194" s="0" t="s">
        <v>219</v>
      </c>
    </row>
    <row r="195" customFormat="false" ht="12" hidden="false" customHeight="true" outlineLevel="0" collapsed="false">
      <c r="A195" s="40" t="n">
        <v>166</v>
      </c>
      <c r="B195" s="35"/>
      <c r="C195" s="46"/>
      <c r="D195" s="36"/>
      <c r="E195" s="35"/>
      <c r="F195" s="16"/>
      <c r="G195" s="38"/>
      <c r="H195" s="38"/>
      <c r="I195" s="44"/>
      <c r="J195" s="44"/>
      <c r="BB195" s="0" t="s">
        <v>220</v>
      </c>
    </row>
    <row r="196" customFormat="false" ht="12" hidden="false" customHeight="true" outlineLevel="0" collapsed="false">
      <c r="A196" s="40" t="n">
        <v>167</v>
      </c>
      <c r="B196" s="35"/>
      <c r="C196" s="46"/>
      <c r="D196" s="36"/>
      <c r="E196" s="35"/>
      <c r="F196" s="16"/>
      <c r="G196" s="38"/>
      <c r="H196" s="38"/>
      <c r="I196" s="44"/>
      <c r="J196" s="44"/>
      <c r="BB196" s="0" t="s">
        <v>221</v>
      </c>
    </row>
    <row r="197" customFormat="false" ht="12" hidden="false" customHeight="true" outlineLevel="0" collapsed="false">
      <c r="A197" s="40" t="n">
        <v>168</v>
      </c>
      <c r="B197" s="35"/>
      <c r="C197" s="46"/>
      <c r="D197" s="36"/>
      <c r="E197" s="35"/>
      <c r="F197" s="16"/>
      <c r="G197" s="38"/>
      <c r="H197" s="38"/>
      <c r="I197" s="44"/>
      <c r="J197" s="44"/>
      <c r="BB197" s="0" t="s">
        <v>222</v>
      </c>
    </row>
    <row r="198" customFormat="false" ht="12" hidden="false" customHeight="true" outlineLevel="0" collapsed="false">
      <c r="A198" s="40" t="n">
        <v>169</v>
      </c>
      <c r="B198" s="35"/>
      <c r="C198" s="46"/>
      <c r="D198" s="36"/>
      <c r="E198" s="35"/>
      <c r="F198" s="16"/>
      <c r="G198" s="38"/>
      <c r="H198" s="38"/>
      <c r="I198" s="44"/>
      <c r="J198" s="44"/>
      <c r="BB198" s="0" t="s">
        <v>223</v>
      </c>
    </row>
    <row r="199" customFormat="false" ht="12" hidden="false" customHeight="true" outlineLevel="0" collapsed="false">
      <c r="A199" s="40" t="n">
        <v>170</v>
      </c>
      <c r="B199" s="35"/>
      <c r="C199" s="46"/>
      <c r="D199" s="36"/>
      <c r="E199" s="35"/>
      <c r="F199" s="16"/>
      <c r="G199" s="38"/>
      <c r="H199" s="38"/>
      <c r="I199" s="44"/>
      <c r="J199" s="44"/>
      <c r="BB199" s="0" t="s">
        <v>224</v>
      </c>
    </row>
    <row r="200" customFormat="false" ht="12" hidden="false" customHeight="true" outlineLevel="0" collapsed="false">
      <c r="A200" s="40" t="n">
        <v>171</v>
      </c>
      <c r="B200" s="35"/>
      <c r="C200" s="46"/>
      <c r="D200" s="36"/>
      <c r="E200" s="35"/>
      <c r="F200" s="16"/>
      <c r="G200" s="38"/>
      <c r="H200" s="38"/>
      <c r="I200" s="44"/>
      <c r="J200" s="44"/>
      <c r="BB200" s="0" t="s">
        <v>225</v>
      </c>
    </row>
    <row r="201" customFormat="false" ht="12" hidden="false" customHeight="true" outlineLevel="0" collapsed="false">
      <c r="A201" s="40" t="n">
        <v>172</v>
      </c>
      <c r="B201" s="35"/>
      <c r="C201" s="46"/>
      <c r="D201" s="36"/>
      <c r="E201" s="35"/>
      <c r="F201" s="16"/>
      <c r="G201" s="38"/>
      <c r="H201" s="38"/>
      <c r="I201" s="44"/>
      <c r="J201" s="44"/>
      <c r="BB201" s="0" t="s">
        <v>226</v>
      </c>
    </row>
    <row r="202" customFormat="false" ht="12" hidden="false" customHeight="true" outlineLevel="0" collapsed="false">
      <c r="A202" s="40" t="n">
        <v>173</v>
      </c>
      <c r="B202" s="35"/>
      <c r="C202" s="46"/>
      <c r="D202" s="36"/>
      <c r="E202" s="35"/>
      <c r="F202" s="16"/>
      <c r="G202" s="38"/>
      <c r="H202" s="38"/>
      <c r="I202" s="44"/>
      <c r="J202" s="44"/>
      <c r="BB202" s="0" t="s">
        <v>227</v>
      </c>
    </row>
    <row r="203" customFormat="false" ht="12" hidden="false" customHeight="true" outlineLevel="0" collapsed="false">
      <c r="A203" s="40" t="n">
        <v>174</v>
      </c>
      <c r="B203" s="35"/>
      <c r="C203" s="46"/>
      <c r="D203" s="36"/>
      <c r="E203" s="35"/>
      <c r="F203" s="16"/>
      <c r="G203" s="38"/>
      <c r="H203" s="38"/>
      <c r="I203" s="44"/>
      <c r="J203" s="44"/>
      <c r="BB203" s="0" t="s">
        <v>228</v>
      </c>
    </row>
    <row r="204" customFormat="false" ht="12" hidden="false" customHeight="true" outlineLevel="0" collapsed="false">
      <c r="A204" s="40" t="n">
        <v>175</v>
      </c>
      <c r="B204" s="35"/>
      <c r="C204" s="46"/>
      <c r="D204" s="36"/>
      <c r="E204" s="35"/>
      <c r="F204" s="16"/>
      <c r="G204" s="38"/>
      <c r="H204" s="38"/>
      <c r="I204" s="44"/>
      <c r="J204" s="44"/>
      <c r="BB204" s="0" t="s">
        <v>229</v>
      </c>
    </row>
    <row r="205" customFormat="false" ht="12" hidden="false" customHeight="true" outlineLevel="0" collapsed="false">
      <c r="A205" s="40" t="n">
        <v>176</v>
      </c>
      <c r="B205" s="35"/>
      <c r="C205" s="46"/>
      <c r="D205" s="36"/>
      <c r="E205" s="35"/>
      <c r="F205" s="16"/>
      <c r="G205" s="38"/>
      <c r="H205" s="38"/>
      <c r="I205" s="44"/>
      <c r="J205" s="44"/>
      <c r="BB205" s="0" t="s">
        <v>230</v>
      </c>
    </row>
    <row r="206" customFormat="false" ht="12" hidden="false" customHeight="true" outlineLevel="0" collapsed="false">
      <c r="A206" s="40" t="n">
        <v>177</v>
      </c>
      <c r="B206" s="35"/>
      <c r="C206" s="46"/>
      <c r="D206" s="36"/>
      <c r="E206" s="35"/>
      <c r="F206" s="16"/>
      <c r="G206" s="38"/>
      <c r="H206" s="38"/>
      <c r="I206" s="44"/>
      <c r="J206" s="44"/>
      <c r="BB206" s="0" t="s">
        <v>231</v>
      </c>
    </row>
    <row r="207" customFormat="false" ht="12" hidden="false" customHeight="true" outlineLevel="0" collapsed="false">
      <c r="A207" s="40" t="n">
        <v>178</v>
      </c>
      <c r="B207" s="35"/>
      <c r="C207" s="46"/>
      <c r="D207" s="36"/>
      <c r="E207" s="35"/>
      <c r="F207" s="16"/>
      <c r="G207" s="38"/>
      <c r="H207" s="38"/>
      <c r="I207" s="44"/>
      <c r="J207" s="44"/>
      <c r="BB207" s="0" t="s">
        <v>232</v>
      </c>
    </row>
    <row r="208" customFormat="false" ht="12" hidden="false" customHeight="true" outlineLevel="0" collapsed="false">
      <c r="A208" s="40" t="n">
        <v>179</v>
      </c>
      <c r="B208" s="35"/>
      <c r="C208" s="46"/>
      <c r="D208" s="36"/>
      <c r="E208" s="35"/>
      <c r="F208" s="16"/>
      <c r="G208" s="38"/>
      <c r="H208" s="38"/>
      <c r="I208" s="44"/>
      <c r="J208" s="44"/>
      <c r="BB208" s="0" t="s">
        <v>233</v>
      </c>
    </row>
    <row r="209" customFormat="false" ht="12" hidden="false" customHeight="true" outlineLevel="0" collapsed="false">
      <c r="A209" s="40" t="n">
        <v>180</v>
      </c>
      <c r="B209" s="35"/>
      <c r="C209" s="46"/>
      <c r="D209" s="36"/>
      <c r="E209" s="35"/>
      <c r="F209" s="16"/>
      <c r="G209" s="38"/>
      <c r="H209" s="38"/>
      <c r="I209" s="44"/>
      <c r="J209" s="44"/>
      <c r="BB209" s="0" t="s">
        <v>234</v>
      </c>
    </row>
    <row r="210" customFormat="false" ht="12" hidden="false" customHeight="true" outlineLevel="0" collapsed="false">
      <c r="A210" s="40" t="n">
        <v>181</v>
      </c>
      <c r="B210" s="35"/>
      <c r="C210" s="46"/>
      <c r="D210" s="36"/>
      <c r="E210" s="35"/>
      <c r="F210" s="16"/>
      <c r="G210" s="38"/>
      <c r="H210" s="38"/>
      <c r="I210" s="44"/>
      <c r="J210" s="44"/>
      <c r="BB210" s="0" t="s">
        <v>235</v>
      </c>
    </row>
    <row r="211" customFormat="false" ht="12" hidden="false" customHeight="true" outlineLevel="0" collapsed="false">
      <c r="A211" s="40" t="n">
        <v>182</v>
      </c>
      <c r="B211" s="35"/>
      <c r="C211" s="46"/>
      <c r="D211" s="36"/>
      <c r="E211" s="35"/>
      <c r="F211" s="16"/>
      <c r="G211" s="38"/>
      <c r="H211" s="38"/>
      <c r="I211" s="44"/>
      <c r="J211" s="44"/>
      <c r="BB211" s="0" t="s">
        <v>236</v>
      </c>
    </row>
    <row r="212" customFormat="false" ht="12" hidden="false" customHeight="true" outlineLevel="0" collapsed="false">
      <c r="A212" s="40" t="n">
        <v>183</v>
      </c>
      <c r="B212" s="35"/>
      <c r="C212" s="46"/>
      <c r="D212" s="36"/>
      <c r="E212" s="35"/>
      <c r="F212" s="16"/>
      <c r="G212" s="38"/>
      <c r="H212" s="38"/>
      <c r="I212" s="44"/>
      <c r="J212" s="44"/>
      <c r="BB212" s="0" t="s">
        <v>237</v>
      </c>
    </row>
    <row r="213" customFormat="false" ht="12" hidden="false" customHeight="true" outlineLevel="0" collapsed="false">
      <c r="A213" s="40" t="n">
        <v>184</v>
      </c>
      <c r="B213" s="35"/>
      <c r="C213" s="46"/>
      <c r="D213" s="36"/>
      <c r="E213" s="35"/>
      <c r="F213" s="16"/>
      <c r="G213" s="38"/>
      <c r="H213" s="38"/>
      <c r="I213" s="44"/>
      <c r="J213" s="44"/>
      <c r="BB213" s="0" t="s">
        <v>238</v>
      </c>
    </row>
    <row r="214" customFormat="false" ht="12" hidden="false" customHeight="true" outlineLevel="0" collapsed="false">
      <c r="A214" s="40" t="n">
        <v>185</v>
      </c>
      <c r="B214" s="35"/>
      <c r="C214" s="46"/>
      <c r="D214" s="36"/>
      <c r="E214" s="35"/>
      <c r="F214" s="16"/>
      <c r="G214" s="38"/>
      <c r="H214" s="38"/>
      <c r="I214" s="44"/>
      <c r="J214" s="44"/>
      <c r="BB214" s="0" t="s">
        <v>239</v>
      </c>
    </row>
    <row r="215" customFormat="false" ht="12" hidden="false" customHeight="true" outlineLevel="0" collapsed="false">
      <c r="A215" s="40" t="n">
        <v>186</v>
      </c>
      <c r="B215" s="35"/>
      <c r="C215" s="46"/>
      <c r="D215" s="36"/>
      <c r="E215" s="35"/>
      <c r="F215" s="16"/>
      <c r="G215" s="38"/>
      <c r="H215" s="38"/>
      <c r="I215" s="44"/>
      <c r="J215" s="44"/>
      <c r="BB215" s="0" t="s">
        <v>240</v>
      </c>
    </row>
    <row r="216" customFormat="false" ht="12" hidden="false" customHeight="true" outlineLevel="0" collapsed="false">
      <c r="A216" s="40" t="n">
        <v>187</v>
      </c>
      <c r="B216" s="35"/>
      <c r="C216" s="46"/>
      <c r="D216" s="36"/>
      <c r="E216" s="35"/>
      <c r="F216" s="16"/>
      <c r="G216" s="38"/>
      <c r="H216" s="38"/>
      <c r="I216" s="44"/>
      <c r="J216" s="44"/>
      <c r="BB216" s="0" t="s">
        <v>241</v>
      </c>
    </row>
    <row r="217" customFormat="false" ht="12" hidden="false" customHeight="true" outlineLevel="0" collapsed="false">
      <c r="A217" s="40" t="n">
        <v>188</v>
      </c>
      <c r="B217" s="35"/>
      <c r="C217" s="46"/>
      <c r="D217" s="36"/>
      <c r="E217" s="35"/>
      <c r="F217" s="16"/>
      <c r="G217" s="38"/>
      <c r="H217" s="38"/>
      <c r="I217" s="44"/>
      <c r="J217" s="44"/>
      <c r="BB217" s="0" t="s">
        <v>242</v>
      </c>
    </row>
    <row r="218" customFormat="false" ht="12" hidden="false" customHeight="true" outlineLevel="0" collapsed="false">
      <c r="A218" s="40" t="n">
        <v>189</v>
      </c>
      <c r="B218" s="35"/>
      <c r="C218" s="46"/>
      <c r="D218" s="36"/>
      <c r="E218" s="35"/>
      <c r="F218" s="16"/>
      <c r="G218" s="38"/>
      <c r="H218" s="38"/>
      <c r="I218" s="44"/>
      <c r="J218" s="44"/>
      <c r="BB218" s="0" t="s">
        <v>243</v>
      </c>
    </row>
    <row r="219" customFormat="false" ht="12" hidden="false" customHeight="true" outlineLevel="0" collapsed="false">
      <c r="A219" s="40" t="n">
        <v>190</v>
      </c>
      <c r="B219" s="35"/>
      <c r="C219" s="46"/>
      <c r="D219" s="36"/>
      <c r="E219" s="35"/>
      <c r="F219" s="16"/>
      <c r="G219" s="38"/>
      <c r="H219" s="38"/>
      <c r="I219" s="44"/>
      <c r="J219" s="44"/>
      <c r="BB219" s="0" t="s">
        <v>244</v>
      </c>
    </row>
    <row r="220" customFormat="false" ht="12" hidden="false" customHeight="true" outlineLevel="0" collapsed="false">
      <c r="A220" s="40" t="n">
        <v>191</v>
      </c>
      <c r="B220" s="35"/>
      <c r="C220" s="46"/>
      <c r="D220" s="36"/>
      <c r="E220" s="35"/>
      <c r="F220" s="16"/>
      <c r="G220" s="38"/>
      <c r="H220" s="38"/>
      <c r="I220" s="44"/>
      <c r="J220" s="44"/>
      <c r="BB220" s="0" t="s">
        <v>245</v>
      </c>
    </row>
    <row r="221" customFormat="false" ht="12" hidden="false" customHeight="true" outlineLevel="0" collapsed="false">
      <c r="A221" s="40" t="n">
        <v>192</v>
      </c>
      <c r="B221" s="35"/>
      <c r="C221" s="46"/>
      <c r="D221" s="36"/>
      <c r="E221" s="35"/>
      <c r="F221" s="16"/>
      <c r="G221" s="38"/>
      <c r="H221" s="38"/>
      <c r="I221" s="44"/>
      <c r="J221" s="44"/>
      <c r="BB221" s="0" t="s">
        <v>246</v>
      </c>
    </row>
    <row r="222" customFormat="false" ht="12" hidden="false" customHeight="true" outlineLevel="0" collapsed="false">
      <c r="A222" s="40" t="n">
        <v>193</v>
      </c>
      <c r="B222" s="35"/>
      <c r="C222" s="46"/>
      <c r="D222" s="36"/>
      <c r="E222" s="35"/>
      <c r="F222" s="16"/>
      <c r="G222" s="38"/>
      <c r="H222" s="38"/>
      <c r="I222" s="44"/>
      <c r="J222" s="44"/>
      <c r="BB222" s="0" t="s">
        <v>247</v>
      </c>
    </row>
    <row r="223" customFormat="false" ht="12" hidden="false" customHeight="true" outlineLevel="0" collapsed="false">
      <c r="A223" s="40" t="n">
        <v>194</v>
      </c>
      <c r="B223" s="35"/>
      <c r="C223" s="46"/>
      <c r="D223" s="36"/>
      <c r="E223" s="35"/>
      <c r="F223" s="16"/>
      <c r="G223" s="38"/>
      <c r="H223" s="38"/>
      <c r="I223" s="44"/>
      <c r="J223" s="44"/>
      <c r="BB223" s="0" t="s">
        <v>248</v>
      </c>
    </row>
    <row r="224" customFormat="false" ht="12" hidden="false" customHeight="true" outlineLevel="0" collapsed="false">
      <c r="A224" s="40" t="n">
        <v>195</v>
      </c>
      <c r="B224" s="35"/>
      <c r="C224" s="46"/>
      <c r="D224" s="36"/>
      <c r="E224" s="35"/>
      <c r="F224" s="16"/>
      <c r="G224" s="38"/>
      <c r="H224" s="38"/>
      <c r="I224" s="44"/>
      <c r="J224" s="44"/>
      <c r="BB224" s="0" t="s">
        <v>249</v>
      </c>
    </row>
    <row r="225" customFormat="false" ht="12" hidden="false" customHeight="true" outlineLevel="0" collapsed="false">
      <c r="A225" s="40" t="n">
        <v>196</v>
      </c>
      <c r="B225" s="35"/>
      <c r="C225" s="46"/>
      <c r="D225" s="36"/>
      <c r="E225" s="35"/>
      <c r="F225" s="16"/>
      <c r="G225" s="38"/>
      <c r="H225" s="38"/>
      <c r="I225" s="44"/>
      <c r="J225" s="44"/>
      <c r="BB225" s="0" t="s">
        <v>250</v>
      </c>
    </row>
    <row r="226" customFormat="false" ht="12" hidden="false" customHeight="true" outlineLevel="0" collapsed="false">
      <c r="A226" s="40" t="n">
        <v>197</v>
      </c>
      <c r="B226" s="35"/>
      <c r="C226" s="46"/>
      <c r="D226" s="36"/>
      <c r="E226" s="35"/>
      <c r="F226" s="16"/>
      <c r="G226" s="38"/>
      <c r="H226" s="38"/>
      <c r="I226" s="44"/>
      <c r="J226" s="44"/>
      <c r="BB226" s="0" t="s">
        <v>251</v>
      </c>
    </row>
    <row r="227" customFormat="false" ht="12" hidden="false" customHeight="true" outlineLevel="0" collapsed="false">
      <c r="A227" s="40" t="n">
        <v>198</v>
      </c>
      <c r="B227" s="35"/>
      <c r="C227" s="46"/>
      <c r="D227" s="36"/>
      <c r="E227" s="35"/>
      <c r="F227" s="16"/>
      <c r="G227" s="38"/>
      <c r="H227" s="38"/>
      <c r="I227" s="44"/>
      <c r="J227" s="44"/>
      <c r="BB227" s="0" t="s">
        <v>252</v>
      </c>
    </row>
    <row r="228" customFormat="false" ht="12" hidden="false" customHeight="true" outlineLevel="0" collapsed="false">
      <c r="A228" s="40" t="n">
        <v>199</v>
      </c>
      <c r="B228" s="35"/>
      <c r="C228" s="46"/>
      <c r="D228" s="36"/>
      <c r="E228" s="35"/>
      <c r="F228" s="16"/>
      <c r="G228" s="38"/>
      <c r="H228" s="38"/>
      <c r="I228" s="44"/>
      <c r="J228" s="44"/>
      <c r="BB228" s="0" t="s">
        <v>253</v>
      </c>
    </row>
    <row r="229" customFormat="false" ht="12" hidden="false" customHeight="true" outlineLevel="0" collapsed="false">
      <c r="A229" s="40" t="n">
        <v>200</v>
      </c>
      <c r="B229" s="35"/>
      <c r="C229" s="46"/>
      <c r="D229" s="36"/>
      <c r="E229" s="35"/>
      <c r="F229" s="16"/>
      <c r="G229" s="38"/>
      <c r="H229" s="38"/>
      <c r="I229" s="44"/>
      <c r="J229" s="44"/>
      <c r="BB229" s="0" t="s">
        <v>254</v>
      </c>
    </row>
    <row r="230" customFormat="false" ht="12" hidden="false" customHeight="true" outlineLevel="0" collapsed="false">
      <c r="A230" s="47" t="n">
        <v>201</v>
      </c>
      <c r="B230" s="35"/>
      <c r="C230" s="48"/>
      <c r="D230" s="36"/>
      <c r="E230" s="35"/>
      <c r="F230" s="16"/>
      <c r="G230" s="38"/>
      <c r="H230" s="38"/>
      <c r="I230" s="44"/>
      <c r="J230" s="44"/>
      <c r="BB230" s="0" t="s">
        <v>255</v>
      </c>
    </row>
    <row r="231" customFormat="false" ht="12.75" hidden="false" customHeight="false" outlineLevel="0" collapsed="false">
      <c r="B231" s="49"/>
      <c r="BB231" s="0" t="s">
        <v>256</v>
      </c>
    </row>
    <row r="232" customFormat="false" ht="12.75" hidden="false" customHeight="false" outlineLevel="0" collapsed="false">
      <c r="B232" s="49"/>
      <c r="BB232" s="0" t="s">
        <v>257</v>
      </c>
    </row>
    <row r="233" customFormat="false" ht="12.75" hidden="false" customHeight="false" outlineLevel="0" collapsed="false">
      <c r="B233" s="49"/>
      <c r="BB233" s="0" t="s">
        <v>258</v>
      </c>
    </row>
    <row r="234" customFormat="false" ht="12.75" hidden="false" customHeight="false" outlineLevel="0" collapsed="false">
      <c r="B234" s="49"/>
      <c r="BB234" s="0" t="s">
        <v>259</v>
      </c>
    </row>
    <row r="235" customFormat="false" ht="12.75" hidden="false" customHeight="false" outlineLevel="0" collapsed="false">
      <c r="B235" s="49"/>
      <c r="BB235" s="0" t="s">
        <v>260</v>
      </c>
    </row>
    <row r="236" customFormat="false" ht="12.75" hidden="false" customHeight="false" outlineLevel="0" collapsed="false">
      <c r="B236" s="49"/>
      <c r="BB236" s="0" t="s">
        <v>261</v>
      </c>
    </row>
    <row r="237" customFormat="false" ht="12.75" hidden="false" customHeight="false" outlineLevel="0" collapsed="false">
      <c r="BB237" s="0" t="s">
        <v>262</v>
      </c>
    </row>
    <row r="238" customFormat="false" ht="12.75" hidden="false" customHeight="false" outlineLevel="0" collapsed="false">
      <c r="BB238" s="0" t="s">
        <v>263</v>
      </c>
    </row>
    <row r="239" customFormat="false" ht="12.75" hidden="false" customHeight="false" outlineLevel="0" collapsed="false">
      <c r="BB239" s="0" t="s">
        <v>264</v>
      </c>
    </row>
    <row r="240" customFormat="false" ht="12.75" hidden="false" customHeight="false" outlineLevel="0" collapsed="false">
      <c r="BB240" s="0" t="s">
        <v>265</v>
      </c>
    </row>
    <row r="257" customFormat="false" ht="13.5" hidden="false" customHeight="true" outlineLevel="0" collapsed="false"/>
    <row r="258" customFormat="false" ht="18" hidden="false" customHeight="true" outlineLevel="0" collapsed="false">
      <c r="B258" s="29" t="s">
        <v>266</v>
      </c>
      <c r="C258" s="29" t="s">
        <v>267</v>
      </c>
      <c r="D258" s="0" t="s">
        <v>268</v>
      </c>
      <c r="E258" s="0" t="s">
        <v>269</v>
      </c>
      <c r="F258" s="0" t="s">
        <v>270</v>
      </c>
      <c r="G258" s="29" t="s">
        <v>271</v>
      </c>
      <c r="H258" s="0" t="s">
        <v>272</v>
      </c>
      <c r="I258" s="29" t="s">
        <v>273</v>
      </c>
      <c r="J258" s="29" t="s">
        <v>274</v>
      </c>
    </row>
    <row r="259" customFormat="false" ht="15" hidden="false" customHeight="true" outlineLevel="0" collapsed="false">
      <c r="B259" s="33" t="s">
        <v>275</v>
      </c>
      <c r="C259" s="33" t="s">
        <v>51</v>
      </c>
      <c r="D259" s="33" t="s">
        <v>276</v>
      </c>
      <c r="E259" s="33" t="s">
        <v>51</v>
      </c>
      <c r="F259" s="33" t="s">
        <v>277</v>
      </c>
      <c r="G259" s="33" t="s">
        <v>278</v>
      </c>
      <c r="H259" s="33" t="n">
        <v>6</v>
      </c>
      <c r="I259" s="33" t="n">
        <v>6</v>
      </c>
      <c r="J259" s="33" t="s">
        <v>279</v>
      </c>
    </row>
    <row r="260" customFormat="false" ht="15" hidden="false" customHeight="true" outlineLevel="0" collapsed="false">
      <c r="B260" s="33" t="s">
        <v>280</v>
      </c>
      <c r="C260" s="33" t="s">
        <v>281</v>
      </c>
      <c r="D260" s="33" t="s">
        <v>282</v>
      </c>
      <c r="E260" s="33" t="s">
        <v>281</v>
      </c>
      <c r="F260" s="33" t="s">
        <v>278</v>
      </c>
      <c r="G260" s="33" t="s">
        <v>283</v>
      </c>
      <c r="H260" s="33" t="n">
        <v>8</v>
      </c>
      <c r="I260" s="33" t="n">
        <v>8</v>
      </c>
      <c r="J260" s="33" t="s">
        <v>284</v>
      </c>
    </row>
    <row r="261" customFormat="false" ht="12.75" hidden="false" customHeight="false" outlineLevel="0" collapsed="false">
      <c r="B261" s="33" t="s">
        <v>285</v>
      </c>
      <c r="C261" s="33" t="s">
        <v>286</v>
      </c>
      <c r="D261" s="33" t="s">
        <v>287</v>
      </c>
      <c r="F261" s="33" t="s">
        <v>283</v>
      </c>
      <c r="G261" s="33" t="s">
        <v>288</v>
      </c>
      <c r="H261" s="33" t="n">
        <v>10</v>
      </c>
      <c r="I261" s="33" t="s">
        <v>277</v>
      </c>
    </row>
    <row r="262" customFormat="false" ht="16.5" hidden="false" customHeight="true" outlineLevel="0" collapsed="false">
      <c r="B262" s="33" t="s">
        <v>289</v>
      </c>
      <c r="C262" s="33"/>
      <c r="D262" s="33"/>
      <c r="F262" s="33" t="s">
        <v>288</v>
      </c>
      <c r="G262" s="33" t="s">
        <v>52</v>
      </c>
      <c r="I262" s="33" t="s">
        <v>278</v>
      </c>
    </row>
    <row r="263" customFormat="false" ht="12.75" hidden="false" customHeight="false" outlineLevel="0" collapsed="false">
      <c r="B263" s="33" t="s">
        <v>290</v>
      </c>
      <c r="C263" s="33"/>
      <c r="D263" s="33"/>
      <c r="F263" s="33" t="s">
        <v>52</v>
      </c>
      <c r="G263" s="33" t="s">
        <v>291</v>
      </c>
      <c r="I263" s="33" t="s">
        <v>283</v>
      </c>
    </row>
    <row r="264" customFormat="false" ht="12.75" hidden="false" customHeight="false" outlineLevel="0" collapsed="false">
      <c r="B264" s="33" t="s">
        <v>292</v>
      </c>
      <c r="C264" s="33"/>
      <c r="D264" s="33"/>
      <c r="F264" s="33" t="s">
        <v>291</v>
      </c>
      <c r="G264" s="33"/>
      <c r="I264" s="33" t="s">
        <v>288</v>
      </c>
    </row>
    <row r="265" customFormat="false" ht="16.5" hidden="false" customHeight="true" outlineLevel="0" collapsed="false">
      <c r="B265" s="33" t="s">
        <v>293</v>
      </c>
      <c r="C265" s="33"/>
      <c r="D265" s="33"/>
      <c r="E265" s="33"/>
      <c r="F265" s="33" t="s">
        <v>294</v>
      </c>
      <c r="I265" s="33" t="s">
        <v>52</v>
      </c>
    </row>
    <row r="266" customFormat="false" ht="12.75" hidden="false" customHeight="false" outlineLevel="0" collapsed="false">
      <c r="B266" s="33" t="s">
        <v>295</v>
      </c>
      <c r="C266" s="33"/>
      <c r="D266" s="33"/>
      <c r="E266" s="33"/>
      <c r="F266" s="33"/>
      <c r="I266" s="33" t="s">
        <v>291</v>
      </c>
    </row>
    <row r="267" customFormat="false" ht="12.75" hidden="false" customHeight="false" outlineLevel="0" collapsed="false">
      <c r="B267" s="33" t="s">
        <v>296</v>
      </c>
      <c r="C267" s="29" t="s">
        <v>297</v>
      </c>
      <c r="D267" s="29" t="s">
        <v>298</v>
      </c>
      <c r="E267" s="33"/>
      <c r="F267" s="29" t="s">
        <v>299</v>
      </c>
      <c r="G267" s="29" t="s">
        <v>300</v>
      </c>
    </row>
    <row r="268" customFormat="false" ht="12.75" hidden="false" customHeight="false" outlineLevel="0" collapsed="false">
      <c r="B268" s="33" t="s">
        <v>50</v>
      </c>
      <c r="C268" s="33" t="s">
        <v>301</v>
      </c>
      <c r="D268" s="33" t="s">
        <v>302</v>
      </c>
      <c r="F268" s="33" t="s">
        <v>303</v>
      </c>
      <c r="G268" s="33" t="s">
        <v>304</v>
      </c>
    </row>
    <row r="269" customFormat="false" ht="12.75" hidden="false" customHeight="false" outlineLevel="0" collapsed="false">
      <c r="B269" s="33" t="s">
        <v>305</v>
      </c>
      <c r="C269" s="33" t="s">
        <v>306</v>
      </c>
      <c r="D269" s="33"/>
      <c r="G269" s="33" t="s">
        <v>307</v>
      </c>
    </row>
    <row r="270" customFormat="false" ht="12.75" hidden="false" customHeight="false" outlineLevel="0" collapsed="false">
      <c r="B270" s="33" t="s">
        <v>308</v>
      </c>
      <c r="C270" s="33" t="s">
        <v>309</v>
      </c>
      <c r="D270" s="33"/>
    </row>
    <row r="271" customFormat="false" ht="12.75" hidden="false" customHeight="false" outlineLevel="0" collapsed="false">
      <c r="B271" s="33" t="s">
        <v>310</v>
      </c>
      <c r="C271" s="33" t="s">
        <v>311</v>
      </c>
      <c r="D271" s="33"/>
    </row>
    <row r="272" customFormat="false" ht="12.75" hidden="false" customHeight="false" outlineLevel="0" collapsed="false">
      <c r="B272" s="33" t="s">
        <v>312</v>
      </c>
      <c r="C272" s="33" t="s">
        <v>313</v>
      </c>
      <c r="D272" s="33"/>
      <c r="G272" s="0" t="s">
        <v>314</v>
      </c>
    </row>
    <row r="273" customFormat="false" ht="12.75" hidden="false" customHeight="false" outlineLevel="0" collapsed="false">
      <c r="B273" s="33" t="s">
        <v>315</v>
      </c>
      <c r="C273" s="33"/>
      <c r="D273" s="33"/>
      <c r="F273" s="33"/>
      <c r="G273" s="33" t="s">
        <v>278</v>
      </c>
    </row>
    <row r="274" customFormat="false" ht="12.75" hidden="false" customHeight="false" outlineLevel="0" collapsed="false">
      <c r="B274" s="33" t="s">
        <v>316</v>
      </c>
      <c r="D274" s="33"/>
      <c r="F274" s="33"/>
      <c r="G274" s="33" t="s">
        <v>283</v>
      </c>
    </row>
    <row r="275" customFormat="false" ht="12.75" hidden="false" customHeight="false" outlineLevel="0" collapsed="false">
      <c r="B275" s="33" t="s">
        <v>317</v>
      </c>
      <c r="D275" s="33"/>
      <c r="F275" s="33"/>
      <c r="G275" s="33" t="s">
        <v>288</v>
      </c>
    </row>
    <row r="276" customFormat="false" ht="12.75" hidden="false" customHeight="false" outlineLevel="0" collapsed="false">
      <c r="D276" s="33"/>
      <c r="F276" s="33"/>
      <c r="G276" s="33" t="s">
        <v>52</v>
      </c>
    </row>
    <row r="277" customFormat="false" ht="12.75" hidden="false" customHeight="false" outlineLevel="0" collapsed="false">
      <c r="D277" s="33"/>
      <c r="F277" s="33"/>
    </row>
  </sheetData>
  <mergeCells count="238">
    <mergeCell ref="B1:H1"/>
    <mergeCell ref="B2:G5"/>
    <mergeCell ref="H2:H5"/>
    <mergeCell ref="B6:F6"/>
    <mergeCell ref="B7:H7"/>
    <mergeCell ref="C8:H8"/>
    <mergeCell ref="C9:E9"/>
    <mergeCell ref="G9:H9"/>
    <mergeCell ref="I9:K18"/>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B19:H20"/>
    <mergeCell ref="C21:E21"/>
    <mergeCell ref="F21:H24"/>
    <mergeCell ref="C22:E22"/>
    <mergeCell ref="C23:E23"/>
    <mergeCell ref="C24:E24"/>
    <mergeCell ref="C25:E25"/>
    <mergeCell ref="B26:H28"/>
    <mergeCell ref="G29:H29"/>
    <mergeCell ref="G30:H30"/>
    <mergeCell ref="I30:K32"/>
    <mergeCell ref="G31:H31"/>
    <mergeCell ref="G32:H32"/>
    <mergeCell ref="G33:H33"/>
    <mergeCell ref="G34:H34"/>
    <mergeCell ref="I34:K36"/>
    <mergeCell ref="G35:H35"/>
    <mergeCell ref="G36:H36"/>
    <mergeCell ref="G37:H37"/>
    <mergeCell ref="G38:H38"/>
    <mergeCell ref="I38:K40"/>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dataValidations count="9">
    <dataValidation allowBlank="true" error="Please only select" operator="between" prompt="&#10;" showDropDown="false" showErrorMessage="true" showInputMessage="false" sqref="F30:F230" type="none">
      <formula1>0</formula1>
      <formula2>0</formula2>
    </dataValidation>
    <dataValidation allowBlank="true" operator="between" showDropDown="false" showErrorMessage="true" showInputMessage="false" sqref="C30:C230" type="list">
      <formula1>INDIRECT($B30)</formula1>
      <formula2>0</formula2>
    </dataValidation>
    <dataValidation allowBlank="true" operator="between" showDropDown="false" showErrorMessage="true" showInputMessage="false" sqref="E30:E230" type="none">
      <formula1>0</formula1>
      <formula2>0</formula2>
    </dataValidation>
    <dataValidation allowBlank="true" operator="between" showDropDown="false" showErrorMessage="true" showInputMessage="false" sqref="H2:H5" type="list">
      <formula1>"English,Français"</formula1>
      <formula2>0</formula2>
    </dataValidation>
    <dataValidation allowBlank="true" operator="between" showDropDown="false" showErrorMessage="true" showInputMessage="false" sqref="D30:D230" type="list">
      <formula1>INDIRECT($B30&amp;$C30)</formula1>
      <formula2>0</formula2>
    </dataValidation>
    <dataValidation allowBlank="true" error="Please make your choice in the list" errorTitle="Unvalid value" operator="between" promptTitle="Choose a country" showDropDown="false" showErrorMessage="true" showInputMessage="true" sqref="G12:H12" type="list">
      <formula1>$BB$1:$BB$240</formula1>
      <formula2>0</formula2>
    </dataValidation>
    <dataValidation allowBlank="true" operator="between" prompt="Sélectionnez le type de produit" showDropDown="false" showErrorMessage="true" showInputMessage="true" sqref="I2:J5 BB29:BB39 L30:BA40 BC30:IV40 C231:F236 B237:F254 C255:F256 B257:F257 E268 E269:F272 G272 E273:E277 C274:C275 B276:C277 B278:F291 B292:E318 C319:E324" type="list">
      <formula1>$B$259:$B$266</formula1>
      <formula2>0</formula2>
    </dataValidation>
    <dataValidation allowBlank="true" operator="between" prompt="Select product type" showDropDown="false" showErrorMessage="true" showInputMessage="true" sqref="B231:B236" type="list">
      <formula1>$B$259:$B$269</formula1>
      <formula2>0</formula2>
    </dataValidation>
    <dataValidation allowBlank="true" operator="between" showDropDown="false" showErrorMessage="true" showInputMessage="false" sqref="B30:B230" type="list">
      <formula1>$B$259:$B$275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B2:U47"/>
  <sheetViews>
    <sheetView showFormulas="false" showGridLines="true" showRowColHeaders="true" showZeros="true" rightToLeft="false" tabSelected="false" showOutlineSymbols="true" defaultGridColor="true" view="normal" topLeftCell="A7" colorId="64" zoomScale="130" zoomScaleNormal="130" zoomScalePageLayoutView="100" workbookViewId="0">
      <selection pane="topLeft" activeCell="C9" activeCellId="1" sqref="C16:H18 C9"/>
    </sheetView>
  </sheetViews>
  <sheetFormatPr defaultColWidth="9.19140625" defaultRowHeight="12.75" zeroHeight="false" outlineLevelRow="0" outlineLevelCol="0"/>
  <cols>
    <col collapsed="false" customWidth="true" hidden="false" outlineLevel="0" max="2" min="2" style="0" width="29.14"/>
    <col collapsed="false" customWidth="true" hidden="false" outlineLevel="0" max="11" min="11" style="0" width="28.86"/>
    <col collapsed="false" customWidth="true" hidden="false" outlineLevel="0" max="18" min="18" style="0" width="28.86"/>
  </cols>
  <sheetData>
    <row r="2" customFormat="false" ht="12.75" hidden="false" customHeight="false" outlineLevel="0" collapsed="false">
      <c r="B2" s="2"/>
      <c r="C2" s="2"/>
      <c r="D2" s="2"/>
      <c r="E2" s="2"/>
      <c r="F2" s="2"/>
      <c r="G2" s="2"/>
      <c r="H2" s="2"/>
      <c r="I2" s="2"/>
      <c r="J2" s="2"/>
      <c r="K2" s="2"/>
      <c r="L2" s="2"/>
      <c r="M2" s="2"/>
    </row>
    <row r="3" customFormat="false" ht="12.75" hidden="false" customHeight="false" outlineLevel="0" collapsed="false">
      <c r="B3" s="2"/>
      <c r="C3" s="2"/>
      <c r="D3" s="2"/>
      <c r="E3" s="2"/>
      <c r="F3" s="2"/>
      <c r="G3" s="2"/>
      <c r="H3" s="2"/>
      <c r="I3" s="2"/>
      <c r="J3" s="2"/>
      <c r="K3" s="2"/>
      <c r="L3" s="2"/>
      <c r="M3" s="2"/>
    </row>
    <row r="4" customFormat="false" ht="12.75" hidden="false" customHeight="false" outlineLevel="0" collapsed="false">
      <c r="B4" s="2"/>
      <c r="C4" s="2"/>
      <c r="D4" s="2"/>
      <c r="E4" s="2"/>
      <c r="F4" s="2"/>
      <c r="G4" s="2"/>
      <c r="H4" s="2"/>
      <c r="I4" s="2"/>
      <c r="J4" s="2"/>
      <c r="K4" s="2"/>
      <c r="L4" s="2"/>
      <c r="M4" s="2"/>
    </row>
    <row r="5" customFormat="false" ht="12.75" hidden="false" customHeight="false" outlineLevel="0" collapsed="false">
      <c r="B5" s="2"/>
      <c r="C5" s="2"/>
      <c r="D5" s="2"/>
      <c r="E5" s="2"/>
      <c r="F5" s="2"/>
      <c r="G5" s="2"/>
      <c r="H5" s="2"/>
      <c r="I5" s="2"/>
      <c r="J5" s="2"/>
      <c r="K5" s="2"/>
      <c r="L5" s="2"/>
      <c r="M5" s="2"/>
    </row>
    <row r="7" customFormat="false" ht="33.75" hidden="false" customHeight="false" outlineLevel="0" collapsed="false">
      <c r="F7" s="50" t="str">
        <f aca="false">IF('My order'!H2="English","Summary","Récapitulatif")</f>
        <v>Summary</v>
      </c>
    </row>
    <row r="8" customFormat="false" ht="11.25" hidden="false" customHeight="true" outlineLevel="0" collapsed="false">
      <c r="F8" s="50"/>
    </row>
    <row r="9" customFormat="false" ht="34.5" hidden="false" customHeight="true" outlineLevel="0" collapsed="false">
      <c r="B9" s="51" t="str">
        <f aca="false">IF('My order'!H2="English","TOTAL PRODUCTS","TOTAL PRODUITS")</f>
        <v>TOTAL PRODUCTS</v>
      </c>
      <c r="C9" s="52" t="n">
        <f aca="false">C29+L29+S29+C37+S47</f>
        <v>1</v>
      </c>
      <c r="F9" s="50"/>
    </row>
    <row r="10" customFormat="false" ht="11.25" hidden="false" customHeight="true" outlineLevel="0" collapsed="false">
      <c r="B10" s="53"/>
      <c r="C10" s="54"/>
      <c r="F10" s="50"/>
    </row>
    <row r="12" customFormat="false" ht="12.75" hidden="false" customHeight="false" outlineLevel="0" collapsed="false">
      <c r="B12" s="55" t="str">
        <f aca="false">IF('My order'!H2="English","Men's products by size and type","Produits Homme par taille et type")</f>
        <v>Men's products by size and type</v>
      </c>
      <c r="C12" s="55"/>
      <c r="D12" s="55"/>
      <c r="E12" s="55"/>
      <c r="F12" s="55"/>
      <c r="G12" s="55"/>
      <c r="H12" s="55"/>
      <c r="I12" s="55"/>
      <c r="J12" s="56"/>
      <c r="K12" s="55" t="str">
        <f aca="false">IF('My order'!H2="English","Women's products by size and type","Produits Femme par taille et type")</f>
        <v>Women's products by size and type</v>
      </c>
      <c r="L12" s="55"/>
      <c r="M12" s="55"/>
      <c r="N12" s="55"/>
      <c r="O12" s="55"/>
      <c r="P12" s="55"/>
      <c r="R12" s="57" t="str">
        <f aca="false">IF('My order'!H2="English","Kid's products by size and type","Produits Enfant par taille et type")</f>
        <v>Kid's products by size and type</v>
      </c>
      <c r="S12" s="57"/>
      <c r="T12" s="57"/>
      <c r="U12" s="57"/>
    </row>
    <row r="13" customFormat="false" ht="12.75" hidden="false" customHeight="false" outlineLevel="0" collapsed="false">
      <c r="B13" s="58" t="str">
        <f aca="false">IF('My order'!H2="English","Product","Produit")</f>
        <v>Product</v>
      </c>
      <c r="C13" s="59" t="str">
        <f aca="false">IF('My order'!H2="English","Quantity","Quantité")</f>
        <v>Quantity</v>
      </c>
      <c r="D13" s="59"/>
      <c r="E13" s="59"/>
      <c r="F13" s="59"/>
      <c r="G13" s="59"/>
      <c r="H13" s="59"/>
      <c r="I13" s="59"/>
      <c r="J13" s="60"/>
      <c r="K13" s="58" t="str">
        <f aca="false">IF('My order'!H2="English","Product","Produit")</f>
        <v>Product</v>
      </c>
      <c r="L13" s="59" t="str">
        <f aca="false">IF('My order'!H2="English","Quantity","Quantité")</f>
        <v>Quantity</v>
      </c>
      <c r="M13" s="59"/>
      <c r="N13" s="59"/>
      <c r="O13" s="59"/>
      <c r="P13" s="59"/>
      <c r="R13" s="58" t="str">
        <f aca="false">IF('My order'!H2="English","Product","Produit")</f>
        <v>Product</v>
      </c>
      <c r="S13" s="59" t="str">
        <f aca="false">IF('My order'!H2="English","Quantity","Quantité")</f>
        <v>Quantity</v>
      </c>
      <c r="T13" s="59"/>
      <c r="U13" s="59"/>
    </row>
    <row r="14" customFormat="false" ht="12.75" hidden="false" customHeight="false" outlineLevel="0" collapsed="false">
      <c r="B14" s="58"/>
      <c r="C14" s="61" t="s">
        <v>277</v>
      </c>
      <c r="D14" s="61" t="s">
        <v>278</v>
      </c>
      <c r="E14" s="61" t="s">
        <v>283</v>
      </c>
      <c r="F14" s="61" t="s">
        <v>288</v>
      </c>
      <c r="G14" s="61" t="s">
        <v>52</v>
      </c>
      <c r="H14" s="61" t="s">
        <v>291</v>
      </c>
      <c r="I14" s="61" t="s">
        <v>294</v>
      </c>
      <c r="J14" s="62"/>
      <c r="K14" s="58"/>
      <c r="L14" s="61" t="s">
        <v>278</v>
      </c>
      <c r="M14" s="61" t="s">
        <v>283</v>
      </c>
      <c r="N14" s="61" t="s">
        <v>288</v>
      </c>
      <c r="O14" s="61" t="s">
        <v>52</v>
      </c>
      <c r="P14" s="61" t="s">
        <v>291</v>
      </c>
      <c r="R14" s="58"/>
      <c r="S14" s="61" t="str">
        <f aca="false">IF('My order'!H2="English","6 yo","6 ans")</f>
        <v>6 yo</v>
      </c>
      <c r="T14" s="61" t="str">
        <f aca="false">IF('My order'!H2="English","8 yo","8 ans")</f>
        <v>8 yo</v>
      </c>
      <c r="U14" s="61" t="str">
        <f aca="false">IF('My order'!H2="English","10 yo","10 ans")</f>
        <v>10 yo</v>
      </c>
    </row>
    <row r="15" customFormat="false" ht="12.75" hidden="false" customHeight="false" outlineLevel="0" collapsed="false">
      <c r="B15" s="63" t="s">
        <v>275</v>
      </c>
      <c r="C15" s="64" t="n">
        <f aca="false">SUMPRODUCT(--('My order'!$B30:$B230="Airez"),--('My order'!$C30:$C230="Man"),--('My order'!$D30:$D230="XS"))</f>
        <v>0</v>
      </c>
      <c r="D15" s="64" t="n">
        <f aca="false">SUMPRODUCT(--('My order'!$B30:$B230="Airez"),--('My order'!$C30:$C230="Man"),--('My order'!$D30:$D230="S"))</f>
        <v>0</v>
      </c>
      <c r="E15" s="64" t="n">
        <f aca="false">SUMPRODUCT(--('My order'!$B30:$B230="Airez"),--('My order'!$C30:$C230="Man"),--('My order'!$D30:$D230="M"))</f>
        <v>0</v>
      </c>
      <c r="F15" s="64" t="n">
        <f aca="false">SUMPRODUCT(--('My order'!$B30:$B230="Airez"),--('My order'!$C30:$C230="Man"),--('My order'!$D30:$D230="L"))</f>
        <v>0</v>
      </c>
      <c r="G15" s="64" t="n">
        <f aca="false">SUMPRODUCT(--('My order'!$B30:$B230="Airez"),--('My order'!$C30:$C230="Man"),--('My order'!$D30:$D230="XL"))</f>
        <v>0</v>
      </c>
      <c r="H15" s="64" t="n">
        <f aca="false">SUMPRODUCT(--('My order'!$B30:$B230="Airez"),--('My order'!$C30:$C230="Man"),--('My order'!$D30:$D230="XXL"))</f>
        <v>0</v>
      </c>
      <c r="I15" s="64" t="n">
        <f aca="false">SUMPRODUCT(--('My order'!$B30:$B230="Airez"),--('My order'!$C30:$C230="Man"),--('My order'!$D30:$D230="XXXL"))</f>
        <v>0</v>
      </c>
      <c r="J15" s="65"/>
      <c r="K15" s="63" t="s">
        <v>275</v>
      </c>
      <c r="L15" s="64" t="n">
        <f aca="false">SUMPRODUCT(--('My order'!$B30:$B230="Airez"),--('My order'!$C30:$C230="Woman"),--('My order'!$D30:$D230="S"))</f>
        <v>0</v>
      </c>
      <c r="M15" s="64" t="n">
        <f aca="false">SUMPRODUCT(--('My order'!$B30:$B230="Airez"),--('My order'!$C30:$C230="Woman"),--('My order'!$D30:$D230="M"))</f>
        <v>0</v>
      </c>
      <c r="N15" s="64" t="n">
        <f aca="false">SUMPRODUCT(--('My order'!$B30:$B230="Airez"),--('My order'!$C30:$C230="Woman"),--('My order'!$D30:$D230="L"))</f>
        <v>0</v>
      </c>
      <c r="O15" s="64" t="n">
        <f aca="false">SUMPRODUCT(--('My order'!$B30:$B230="Airez"),--('My order'!$C30:$C230="Woman"),--('My order'!$D30:$D230="XL"))</f>
        <v>0</v>
      </c>
      <c r="P15" s="64" t="n">
        <f aca="false">SUMPRODUCT(--('My order'!$B30:$B230="Airez"),--('My order'!$C30:$C230="Woman"),--('My order'!$D30:$D230="XXL"))</f>
        <v>0</v>
      </c>
      <c r="R15" s="63" t="s">
        <v>275</v>
      </c>
      <c r="S15" s="64" t="n">
        <f aca="false">SUMPRODUCT(--('My order'!$B30:$B230="Airez"),--('My order'!$C30:$C230="Kid"),--('My order'!$D30:$D230=6))</f>
        <v>0</v>
      </c>
      <c r="T15" s="64" t="n">
        <f aca="false">SUMPRODUCT(--('My order'!$B30:$B230="Airez"),--('My order'!$C30:$C230="Kid"),--('My order'!$D30:$D230=8))</f>
        <v>0</v>
      </c>
      <c r="U15" s="64" t="n">
        <f aca="false">SUMPRODUCT(--('My order'!$B30:$B230="Airez"),--('My order'!$C30:$C230="Kid"),--('My order'!$D30:$D230=10))</f>
        <v>0</v>
      </c>
    </row>
    <row r="16" customFormat="false" ht="12.75" hidden="false" customHeight="false" outlineLevel="0" collapsed="false">
      <c r="B16" s="66" t="s">
        <v>285</v>
      </c>
      <c r="C16" s="64" t="n">
        <f aca="false">SUMPRODUCT(--('My order'!$B30:$B230="Azkar"),--('My order'!$C30:$C230="Man"),--('My order'!$D30:$D230="XS"))</f>
        <v>0</v>
      </c>
      <c r="D16" s="64" t="n">
        <f aca="false">SUMPRODUCT(--('My order'!$B30:$B230="Azkar"),--('My order'!$C30:$C230="Man"),--('My order'!$D30:$D230="S"))</f>
        <v>0</v>
      </c>
      <c r="E16" s="64" t="n">
        <f aca="false">SUMPRODUCT(--('My order'!$B30:$B230="Azkar"),--('My order'!$C30:$C230="Man"),--('My order'!$D30:$D230="M"))</f>
        <v>0</v>
      </c>
      <c r="F16" s="64" t="n">
        <f aca="false">SUMPRODUCT(--('My order'!$B30:$B230="Azkar"),--('My order'!$C30:$C230="Man"),--('My order'!$D30:$D230="L"))</f>
        <v>0</v>
      </c>
      <c r="G16" s="64" t="n">
        <f aca="false">SUMPRODUCT(--('My order'!$B30:$B230="Azkar"),--('My order'!$C30:$C230="Man"),--('My order'!$D30:$D230="XL"))</f>
        <v>0</v>
      </c>
      <c r="H16" s="64" t="n">
        <f aca="false">SUMPRODUCT(--('My order'!$B30:$B230="Azkar"),--('My order'!$C30:$C230="Man"),--('My order'!$D30:$D230="XXL"))</f>
        <v>0</v>
      </c>
      <c r="I16" s="64" t="n">
        <f aca="false">SUMPRODUCT(--('My order'!$B30:$B230="Azkar"),--('My order'!$C30:$C230="Man"),--('My order'!$D30:$D230="XXXL"))</f>
        <v>0</v>
      </c>
      <c r="J16" s="65"/>
      <c r="K16" s="66" t="s">
        <v>285</v>
      </c>
      <c r="L16" s="64" t="n">
        <f aca="false">SUMPRODUCT(--('My order'!$B30:$B230="Azkar"),--('My order'!$C30:$C230="Woman"),--('My order'!$D30:$D230="S"))</f>
        <v>0</v>
      </c>
      <c r="M16" s="64" t="n">
        <f aca="false">SUMPRODUCT(--('My order'!$B30:$B230="Azkar"),--('My order'!$C30:$C230="Woman"),--('My order'!$D30:$D230="M"))</f>
        <v>0</v>
      </c>
      <c r="N16" s="64" t="n">
        <f aca="false">SUMPRODUCT(--('My order'!$B30:$B230="Azkar"),--('My order'!$C30:$C230="Woman"),--('My order'!$D30:$D230="L"))</f>
        <v>0</v>
      </c>
      <c r="O16" s="64" t="n">
        <f aca="false">SUMPRODUCT(--('My order'!$B30:$B230="Azkar"),--('My order'!$C30:$C230="Woman"),--('My order'!$D30:$D230="XL"))</f>
        <v>0</v>
      </c>
      <c r="P16" s="64" t="n">
        <f aca="false">SUMPRODUCT(--('My order'!$B30:$B230="Azkar"),--('My order'!$C30:$C230="Woman"),--('My order'!$D30:$D230="XXL"))</f>
        <v>0</v>
      </c>
      <c r="R16" s="66" t="s">
        <v>285</v>
      </c>
      <c r="S16" s="64" t="n">
        <f aca="false">SUMPRODUCT(--('My order'!$B30:$B230="Azkar"),--('My order'!$C30:$C230="Kid"),--('My order'!$D30:$D230=6))</f>
        <v>0</v>
      </c>
      <c r="T16" s="64" t="n">
        <f aca="false">SUMPRODUCT(--('My order'!$B30:$B230="Azkar"),--('My order'!$C30:$C230="Kid"),--('My order'!$D30:$D230=8))</f>
        <v>0</v>
      </c>
      <c r="U16" s="64" t="n">
        <f aca="false">SUMPRODUCT(--('My order'!$B30:$B230="Azkar"),--('My order'!$C30:$C230="Kid"),--('My order'!$D30:$D230=10))</f>
        <v>0</v>
      </c>
    </row>
    <row r="17" customFormat="false" ht="12.75" hidden="false" customHeight="false" outlineLevel="0" collapsed="false">
      <c r="B17" s="66" t="s">
        <v>318</v>
      </c>
      <c r="C17" s="64" t="n">
        <f aca="false">SUMPRODUCT(--('My order'!$B30:$B230="Compression_Top"),--('My order'!$C30:$C230="Man"),--('My order'!$D30:$D230="XS"))</f>
        <v>0</v>
      </c>
      <c r="D17" s="64" t="n">
        <f aca="false">SUMPRODUCT(--('My order'!$B30:$B230="Compression_Top"),--('My order'!$C30:$C230="Man"),--('My order'!$D30:$D230="S"))</f>
        <v>0</v>
      </c>
      <c r="E17" s="64" t="n">
        <f aca="false">SUMPRODUCT(--('My order'!$B30:$B230="Compression_Top"),--('My order'!$C30:$C230="Man"),--('My order'!$D30:$D230="M"))</f>
        <v>0</v>
      </c>
      <c r="F17" s="64" t="n">
        <f aca="false">SUMPRODUCT(--('My order'!$B30:$B230="Compression_Top"),--('My order'!$C30:$C230="Man"),--('My order'!$D30:$D230="L"))</f>
        <v>0</v>
      </c>
      <c r="G17" s="64" t="n">
        <f aca="false">SUMPRODUCT(--('My order'!$B30:$B230="Compression_Top"),--('My order'!$C30:$C230="Man"),--('My order'!$D30:$D230="XL"))</f>
        <v>0</v>
      </c>
      <c r="H17" s="64" t="n">
        <f aca="false">SUMPRODUCT(--('My order'!$B30:$B230="Compression_Top"),--('My order'!$C30:$C230="Man"),--('My order'!$D30:$D230="XXL"))</f>
        <v>0</v>
      </c>
      <c r="I17" s="64" t="n">
        <f aca="false">SUMPRODUCT(--('My order'!$B30:$B230="Compression_Top"),--('My order'!$C30:$C230="Man"),--('My order'!$D30:$D230="XXXL"))</f>
        <v>0</v>
      </c>
      <c r="J17" s="65"/>
      <c r="K17" s="66" t="s">
        <v>318</v>
      </c>
      <c r="L17" s="64" t="n">
        <f aca="false">SUMPRODUCT(--('My order'!$B30:$B230="Compression_Top"),--('My order'!$C30:$C230="Woman"),--('My order'!$D30:$D230="S"))</f>
        <v>0</v>
      </c>
      <c r="M17" s="64" t="n">
        <f aca="false">SUMPRODUCT(--('My order'!$B30:$B230="Compression_Top"),--('My order'!$C30:$C230="Woman"),--('My order'!$D30:$D230="M"))</f>
        <v>0</v>
      </c>
      <c r="N17" s="64" t="n">
        <f aca="false">SUMPRODUCT(--('My order'!$B30:$B230="Compression_Top"),--('My order'!$C30:$C230="Woman"),--('My order'!$D30:$D230="L"))</f>
        <v>0</v>
      </c>
      <c r="O17" s="64" t="n">
        <f aca="false">SUMPRODUCT(--('My order'!$B30:$B230="Compression_Top"),--('My order'!$C30:$C230="Woman"),--('My order'!$D30:$D230="XL"))</f>
        <v>0</v>
      </c>
      <c r="P17" s="64" t="n">
        <f aca="false">SUMPRODUCT(--('My order'!$B30:$B230="Compression_Top"),--('My order'!$C30:$C230="Woman"),--('My order'!$D30:$D230="XXL"))</f>
        <v>0</v>
      </c>
      <c r="R17" s="66" t="s">
        <v>318</v>
      </c>
      <c r="S17" s="64" t="n">
        <f aca="false">SUMPRODUCT(--('My order'!$B30:$B230="Compression_Top"),--('My order'!$C30:$C230="Kid"),--('My order'!$D30:$D230=6))</f>
        <v>0</v>
      </c>
      <c r="T17" s="64" t="n">
        <f aca="false">SUMPRODUCT(--('My order'!$B30:$B230="Compression_Top"),--('My order'!$C30:$C230="Kid"),--('My order'!$D30:$D230=8))</f>
        <v>0</v>
      </c>
      <c r="U17" s="64" t="n">
        <f aca="false">SUMPRODUCT(--('My order'!$B30:$B230="Compression_Top"),--('My order'!$C30:$C230="Kid"),--('My order'!$D30:$D230=10))</f>
        <v>0</v>
      </c>
    </row>
    <row r="18" customFormat="false" ht="12.75" hidden="false" customHeight="false" outlineLevel="0" collapsed="false">
      <c r="B18" s="66" t="s">
        <v>319</v>
      </c>
      <c r="C18" s="64" t="n">
        <f aca="false">SUMPRODUCT(--('My order'!$B30:$B230="Compression_Top_LongSleeves"),--('My order'!$C30:$C230="Man"),--('My order'!$D30:$D230="XS"))</f>
        <v>0</v>
      </c>
      <c r="D18" s="64" t="n">
        <f aca="false">SUMPRODUCT(--('My order'!$B30:$B230="Compression_Top_LongSleeves"),--('My order'!$C30:$C230="Man"),--('My order'!$D30:$D230="S"))</f>
        <v>0</v>
      </c>
      <c r="E18" s="64" t="n">
        <f aca="false">SUMPRODUCT(--('My order'!$B30:$B230="Compression_Top_LongSleeves"),--('My order'!$C30:$C230="Man"),--('My order'!$D30:$D230="M"))</f>
        <v>0</v>
      </c>
      <c r="F18" s="64" t="n">
        <f aca="false">SUMPRODUCT(--('My order'!$B30:$B230="Compression_Top_LongSleeves"),--('My order'!$C30:$C230="Man"),--('My order'!$D30:$D230="L"))</f>
        <v>0</v>
      </c>
      <c r="G18" s="64" t="n">
        <f aca="false">SUMPRODUCT(--('My order'!$B30:$B230="Compression_Top_LongSleeves"),--('My order'!$C30:$C230="Man"),--('My order'!$D30:$D230="XL"))</f>
        <v>0</v>
      </c>
      <c r="H18" s="64" t="n">
        <f aca="false">SUMPRODUCT(--('My order'!$B30:$B230="Compression_Top_LongSleeves"),--('My order'!$C30:$C230="Man"),--('My order'!$D30:$D230="XXL"))</f>
        <v>0</v>
      </c>
      <c r="I18" s="64" t="n">
        <f aca="false">SUMPRODUCT(--('My order'!$B30:$B230="Compression_Top_LongSleeves"),--('My order'!$C30:$C230="Man"),--('My order'!$D30:$D230="XXXL"))</f>
        <v>0</v>
      </c>
      <c r="J18" s="65"/>
      <c r="K18" s="66" t="s">
        <v>319</v>
      </c>
      <c r="L18" s="64" t="n">
        <f aca="false">SUMPRODUCT(--('My order'!$B30:$B230="Compression_Top_LongSleeves"),--('My order'!$C30:$C230="Woman"),--('My order'!$D30:$D230="S"))</f>
        <v>0</v>
      </c>
      <c r="M18" s="64" t="n">
        <f aca="false">SUMPRODUCT(--('My order'!$B30:$B230="Compression_Top_LongSleeves"),--('My order'!$C30:$C230="Woman"),--('My order'!$D30:$D230="M"))</f>
        <v>0</v>
      </c>
      <c r="N18" s="64" t="n">
        <f aca="false">SUMPRODUCT(--('My order'!$B30:$B230="Compression_Top_LongSleeves"),--('My order'!$C30:$C230="Woman"),--('My order'!$D30:$D230="L"))</f>
        <v>0</v>
      </c>
      <c r="O18" s="64" t="n">
        <f aca="false">SUMPRODUCT(--('My order'!$B30:$B230="Compression_Top_LongSleeves"),--('My order'!$C30:$C230="Woman"),--('My order'!$D30:$D230="XL"))</f>
        <v>0</v>
      </c>
      <c r="P18" s="64" t="n">
        <f aca="false">SUMPRODUCT(--('My order'!$B30:$B230="Compression_Top_LongSleeves"),--('My order'!$C30:$C230="Woman"),--('My order'!$D30:$D230="XXL"))</f>
        <v>0</v>
      </c>
      <c r="R18" s="66" t="s">
        <v>319</v>
      </c>
      <c r="S18" s="64" t="n">
        <f aca="false">SUMPRODUCT(--('My order'!$B30:$B230="Compression_Top_LongSleeves"),--('My order'!$C30:$C230="Kid"),--('My order'!$D30:$D230=6))</f>
        <v>0</v>
      </c>
      <c r="T18" s="64" t="n">
        <f aca="false">SUMPRODUCT(--('My order'!$B30:$B230="Compression_Top_LongSleeves"),--('My order'!$C30:$C230="Kid"),--('My order'!$D30:$D230=8))</f>
        <v>0</v>
      </c>
      <c r="U18" s="64" t="n">
        <f aca="false">SUMPRODUCT(--('My order'!$B30:$B230="Compression_Top_LongSleeves"),--('My order'!$C30:$C230="Kid"),--('My order'!$D30:$D230=10))</f>
        <v>0</v>
      </c>
    </row>
    <row r="19" customFormat="false" ht="12.75" hidden="false" customHeight="false" outlineLevel="0" collapsed="false">
      <c r="B19" s="66" t="s">
        <v>289</v>
      </c>
      <c r="C19" s="64" t="n">
        <f aca="false">SUMPRODUCT(--('My order'!$B30:$B230="Dotoreak"),--('My order'!$C30:$C230="Man"),--('My order'!$D30:$D230="XS"))</f>
        <v>0</v>
      </c>
      <c r="D19" s="64" t="n">
        <f aca="false">SUMPRODUCT(--('My order'!$B30:$B230="Dotoreak"),--('My order'!$C30:$C230="Man"),--('My order'!$D30:$D230="S"))</f>
        <v>0</v>
      </c>
      <c r="E19" s="64" t="n">
        <f aca="false">SUMPRODUCT(--('My order'!$B30:$B230="Dotoreak"),--('My order'!$C30:$C230="Man"),--('My order'!$D30:$D230="M"))</f>
        <v>0</v>
      </c>
      <c r="F19" s="64" t="n">
        <f aca="false">SUMPRODUCT(--('My order'!$B30:$B230="Dotoreak"),--('My order'!$C30:$C230="Man"),--('My order'!$D30:$D230="L"))</f>
        <v>0</v>
      </c>
      <c r="G19" s="64" t="n">
        <f aca="false">SUMPRODUCT(--('My order'!$B30:$B230="Dotoreak"),--('My order'!$C30:$C230="Man"),--('My order'!$D30:$D230="XL"))</f>
        <v>0</v>
      </c>
      <c r="H19" s="64" t="n">
        <f aca="false">SUMPRODUCT(--('My order'!$B30:$B230="Dotoreak"),--('My order'!$C30:$C230="Man"),--('My order'!$D30:$D230="XXL"))</f>
        <v>0</v>
      </c>
      <c r="I19" s="64" t="n">
        <f aca="false">SUMPRODUCT(--('My order'!$B30:$B230="Dotoreak"),--('My order'!$C30:$C230="Man"),--('My order'!$D30:$D230="XXXL"))</f>
        <v>0</v>
      </c>
      <c r="J19" s="65"/>
      <c r="K19" s="66" t="s">
        <v>289</v>
      </c>
      <c r="L19" s="64" t="n">
        <f aca="false">SUMPRODUCT(--('My order'!$B30:$B230="Dotoreak"),--('My order'!$C30:$C230="Woman"),--('My order'!$D30:$D230="S"))</f>
        <v>0</v>
      </c>
      <c r="M19" s="64" t="n">
        <f aca="false">SUMPRODUCT(--('My order'!$B30:$B230="Dotoreak"),--('My order'!$C30:$C230="Woman"),--('My order'!$D30:$D230="M"))</f>
        <v>0</v>
      </c>
      <c r="N19" s="64" t="n">
        <f aca="false">SUMPRODUCT(--('My order'!$B30:$B230="Dotoreak"),--('My order'!$C30:$C230="Woman"),--('My order'!$D30:$D230="L"))</f>
        <v>0</v>
      </c>
      <c r="O19" s="64" t="n">
        <f aca="false">SUMPRODUCT(--('My order'!$B30:$B230="Dotoreak"),--('My order'!$C30:$C230="Woman"),--('My order'!$D30:$D230="XL"))</f>
        <v>0</v>
      </c>
      <c r="P19" s="64" t="n">
        <f aca="false">SUMPRODUCT(--('My order'!$B30:$B230="Dotoreak"),--('My order'!$C30:$C230="Woman"),--('My order'!$D30:$D230="XXL"))</f>
        <v>0</v>
      </c>
      <c r="R19" s="66" t="s">
        <v>289</v>
      </c>
      <c r="S19" s="64" t="n">
        <f aca="false">SUMPRODUCT(--('My order'!$B30:$B230="Dotoreak"),--('My order'!$C30:$C230="Kid"),--('My order'!$D30:$D230=6))</f>
        <v>0</v>
      </c>
      <c r="T19" s="64" t="n">
        <f aca="false">SUMPRODUCT(--('My order'!$B30:$B230="Dotoreak"),--('My order'!$C30:$C230="Kid"),--('My order'!$D30:$D230=8))</f>
        <v>0</v>
      </c>
      <c r="U19" s="64" t="n">
        <f aca="false">SUMPRODUCT(--('My order'!$B30:$B230="Dotoreak"),--('My order'!$C30:$C230="Kid"),--('My order'!$D30:$D230=10))</f>
        <v>0</v>
      </c>
    </row>
    <row r="20" customFormat="false" ht="12.75" hidden="false" customHeight="false" outlineLevel="0" collapsed="false">
      <c r="B20" s="66" t="s">
        <v>296</v>
      </c>
      <c r="C20" s="67"/>
      <c r="D20" s="64" t="n">
        <f aca="false">SUMPRODUCT(--('My order'!$B30:$B230="Kanpaia"),--('My order'!$C30:$C230="Man"),--('My order'!$D30:$D230="S"))</f>
        <v>0</v>
      </c>
      <c r="E20" s="64" t="n">
        <f aca="false">SUMPRODUCT(--('My order'!$B30:$B230="Kanpaia"),--('My order'!$C30:$C230="Man"),--('My order'!$D30:$D230="M"))</f>
        <v>0</v>
      </c>
      <c r="F20" s="64" t="n">
        <f aca="false">SUMPRODUCT(--('My order'!$B30:$B230="Kanpaia"),--('My order'!$C30:$C230="Man"),--('My order'!$D30:$D230="L"))</f>
        <v>0</v>
      </c>
      <c r="G20" s="64" t="n">
        <f aca="false">SUMPRODUCT(--('My order'!$B30:$B230="Kanpaia"),--('My order'!$C30:$C230="Man"),--('My order'!$D30:$D230="XL"))</f>
        <v>0</v>
      </c>
      <c r="H20" s="64" t="n">
        <f aca="false">SUMPRODUCT(--('My order'!$B30:$B230="Kanpaia"),--('My order'!$C30:$C230="Man"),--('My order'!$D30:$D230="XXL"))</f>
        <v>0</v>
      </c>
      <c r="I20" s="67"/>
      <c r="J20" s="65"/>
      <c r="K20" s="66" t="s">
        <v>296</v>
      </c>
      <c r="L20" s="64" t="n">
        <f aca="false">SUMPRODUCT(--('My order'!$B30:$B230="Kanpaia"),--('My order'!$C30:$C230="Woman"),--('My order'!$D30:$D230="S"))</f>
        <v>0</v>
      </c>
      <c r="M20" s="64" t="n">
        <f aca="false">SUMPRODUCT(--('My order'!$B30:$B230="Kanpaia"),--('My order'!$C30:$C230="Woman"),--('My order'!$D30:$D230="M"))</f>
        <v>0</v>
      </c>
      <c r="N20" s="64" t="n">
        <f aca="false">SUMPRODUCT(--('My order'!$B30:$B230="Kanpaia"),--('My order'!$C30:$C230="Woman"),--('My order'!$D30:$D230="L"))</f>
        <v>0</v>
      </c>
      <c r="O20" s="64" t="n">
        <f aca="false">SUMPRODUCT(--('My order'!$B30:$B230="Kanpaia"),--('My order'!$C30:$C230="Woman"),--('My order'!$D30:$D230="XL"))</f>
        <v>0</v>
      </c>
      <c r="P20" s="67"/>
      <c r="R20" s="66" t="s">
        <v>296</v>
      </c>
      <c r="S20" s="67"/>
      <c r="T20" s="67"/>
      <c r="U20" s="67"/>
    </row>
    <row r="21" customFormat="false" ht="12.75" hidden="false" customHeight="false" outlineLevel="0" collapsed="false">
      <c r="B21" s="66" t="s">
        <v>280</v>
      </c>
      <c r="C21" s="67"/>
      <c r="D21" s="64" t="n">
        <f aca="false">SUMPRODUCT(--('My order'!$B30:$B230="Argia"),--('My order'!$C30:$C230="Man"),--('My order'!$D30:$D230="S"))</f>
        <v>0</v>
      </c>
      <c r="E21" s="64" t="n">
        <f aca="false">SUMPRODUCT(--('My order'!$B30:$B230="Argia"),--('My order'!$C30:$C230="Man"),--('My order'!$D30:$D230="M"))</f>
        <v>0</v>
      </c>
      <c r="F21" s="64" t="n">
        <f aca="false">SUMPRODUCT(--('My order'!$B30:$B230="Argia"),--('My order'!$C30:$C230="Man"),--('My order'!$D30:$D230="L"))</f>
        <v>0</v>
      </c>
      <c r="G21" s="64" t="n">
        <f aca="false">SUMPRODUCT(--('My order'!$B30:$B230="Argia"),--('My order'!$C30:$C230="Man"),--('My order'!$D30:$D230="XL"))</f>
        <v>0</v>
      </c>
      <c r="H21" s="64" t="n">
        <f aca="false">SUMPRODUCT(--('My order'!$B30:$B230="Argia"),--('My order'!$C30:$C230="Man"),--('My order'!$D30:$D230="XXL"))</f>
        <v>0</v>
      </c>
      <c r="I21" s="67"/>
      <c r="J21" s="65"/>
      <c r="K21" s="66" t="s">
        <v>280</v>
      </c>
      <c r="L21" s="64" t="n">
        <f aca="false">SUMPRODUCT(--('My order'!$B30:$B230="Argia"),--('My order'!$C30:$C230="Woman"),--('My order'!$D30:$D230="S"))</f>
        <v>0</v>
      </c>
      <c r="M21" s="64" t="n">
        <f aca="false">SUMPRODUCT(--('My order'!$B30:$B230="Argia"),--('My order'!$C30:$C230="Woman"),--('My order'!$D30:$D230="M"))</f>
        <v>0</v>
      </c>
      <c r="N21" s="64" t="n">
        <f aca="false">SUMPRODUCT(--('My order'!$B30:$B230="Argia"),--('My order'!$C30:$C230="Woman"),--('My order'!$D30:$D230="L"))</f>
        <v>0</v>
      </c>
      <c r="O21" s="64" t="n">
        <f aca="false">SUMPRODUCT(--('My order'!$B30:$B230="Argia"),--('My order'!$C30:$C230="Woman"),--('My order'!$D30:$D230="XL"))</f>
        <v>0</v>
      </c>
      <c r="P21" s="67"/>
      <c r="R21" s="66" t="s">
        <v>280</v>
      </c>
      <c r="S21" s="67"/>
      <c r="T21" s="67"/>
      <c r="U21" s="67"/>
    </row>
    <row r="22" customFormat="false" ht="12.75" hidden="false" customHeight="false" outlineLevel="0" collapsed="false">
      <c r="B22" s="66" t="s">
        <v>290</v>
      </c>
      <c r="C22" s="64" t="n">
        <f aca="false">SUMPRODUCT(--('My order'!$B30:$B230="Epela"),--('My order'!$C30:$C230="Man"),--('My order'!$D30:$D230="XS"))</f>
        <v>0</v>
      </c>
      <c r="D22" s="64" t="n">
        <f aca="false">SUMPRODUCT(--('My order'!$B30:$B230="Epela"),--('My order'!$C30:$C230="Man"),--('My order'!$D30:$D230="S"))</f>
        <v>0</v>
      </c>
      <c r="E22" s="64" t="n">
        <f aca="false">SUMPRODUCT(--('My order'!$B30:$B230="Epela"),--('My order'!$C30:$C230="Man"),--('My order'!$D30:$D230="M"))</f>
        <v>0</v>
      </c>
      <c r="F22" s="64" t="n">
        <f aca="false">SUMPRODUCT(--('My order'!$B30:$B230="Epela"),--('My order'!$C30:$C230="Man"),--('My order'!$D30:$D230="L"))</f>
        <v>0</v>
      </c>
      <c r="G22" s="64" t="n">
        <f aca="false">SUMPRODUCT(--('My order'!$B30:$B230="Epela"),--('My order'!$C30:$C230="Man"),--('My order'!$D30:$D230="XL"))</f>
        <v>0</v>
      </c>
      <c r="H22" s="64" t="n">
        <f aca="false">SUMPRODUCT(--('My order'!$B30:$B230="Epela"),--('My order'!$C30:$C230="Man"),--('My order'!$D30:$D230="XXL"))</f>
        <v>0</v>
      </c>
      <c r="I22" s="64" t="n">
        <f aca="false">SUMPRODUCT(--('My order'!$B30:$B230="Epela"),--('My order'!$C30:$C230="Man"),--('My order'!$D30:$D230="XXXL"))</f>
        <v>0</v>
      </c>
      <c r="J22" s="65"/>
      <c r="K22" s="66" t="s">
        <v>290</v>
      </c>
      <c r="L22" s="64" t="n">
        <f aca="false">SUMPRODUCT(--('My order'!$B30:$B230="Epela"),--('My order'!$C30:$C230="Woman"),--('My order'!$D30:$D230="S"))</f>
        <v>0</v>
      </c>
      <c r="M22" s="64" t="n">
        <f aca="false">SUMPRODUCT(--('My order'!$B30:$B230="Epela"),--('My order'!$C30:$C230="Woman"),--('My order'!$D30:$D230="M"))</f>
        <v>0</v>
      </c>
      <c r="N22" s="64" t="n">
        <f aca="false">SUMPRODUCT(--('My order'!$B30:$B230="Epela"),--('My order'!$C30:$C230="Woman"),--('My order'!$D30:$D230="L"))</f>
        <v>0</v>
      </c>
      <c r="O22" s="64" t="n">
        <f aca="false">SUMPRODUCT(--('My order'!$B30:$B230="Epela"),--('My order'!$C30:$C230="Woman"),--('My order'!$D30:$D230="XL"))</f>
        <v>0</v>
      </c>
      <c r="P22" s="64" t="n">
        <f aca="false">SUMPRODUCT(--('My order'!$B30:$B230="Epela"),--('My order'!$C30:$C230="Woman"),--('My order'!$D30:$D230="XXL"))</f>
        <v>0</v>
      </c>
      <c r="R22" s="66" t="s">
        <v>290</v>
      </c>
      <c r="S22" s="64" t="n">
        <f aca="false">SUMPRODUCT(--('My order'!$B30:$B230="Epela"),--('My order'!$C30:$C230="Kid"),--('My order'!$D30:$D230=6))</f>
        <v>0</v>
      </c>
      <c r="T22" s="64" t="n">
        <f aca="false">SUMPRODUCT(--('My order'!$B30:$B230="Epela"),--('My order'!$C30:$C230="Kid"),--('My order'!$D30:$D230=8))</f>
        <v>0</v>
      </c>
      <c r="U22" s="64" t="n">
        <f aca="false">SUMPRODUCT(--('My order'!$B30:$B230="Epela"),--('My order'!$C30:$C230="Kid"),--('My order'!$D30:$D230=10))</f>
        <v>0</v>
      </c>
    </row>
    <row r="23" customFormat="false" ht="12.75" hidden="false" customHeight="false" outlineLevel="0" collapsed="false">
      <c r="B23" s="66" t="s">
        <v>292</v>
      </c>
      <c r="C23" s="64" t="n">
        <f aca="false">SUMPRODUCT(--('My order'!$B30:$B230="Erritmo"),--('My order'!$C30:$C230="Man"),--('My order'!$D30:$D230="XS"))</f>
        <v>0</v>
      </c>
      <c r="D23" s="64" t="n">
        <f aca="false">SUMPRODUCT(--('My order'!$B30:$B230="Erritmo"),--('My order'!$C30:$C230="Man"),--('My order'!$D30:$D230="S"))</f>
        <v>0</v>
      </c>
      <c r="E23" s="64" t="n">
        <f aca="false">SUMPRODUCT(--('My order'!$B30:$B230="Erritmo"),--('My order'!$C30:$C230="Man"),--('My order'!$D30:$D230="M"))</f>
        <v>0</v>
      </c>
      <c r="F23" s="64" t="n">
        <f aca="false">SUMPRODUCT(--('My order'!$B30:$B230="Erritmo"),--('My order'!$C30:$C230="Man"),--('My order'!$D30:$D230="L"))</f>
        <v>0</v>
      </c>
      <c r="G23" s="64" t="n">
        <f aca="false">SUMPRODUCT(--('My order'!$B30:$B230="Erritmo"),--('My order'!$C30:$C230="Man"),--('My order'!$D30:$D230="XL"))</f>
        <v>0</v>
      </c>
      <c r="H23" s="64" t="n">
        <f aca="false">SUMPRODUCT(--('My order'!$B30:$B230="Erritmo"),--('My order'!$C30:$C230="Man"),--('My order'!$D30:$D230="XXL"))</f>
        <v>0</v>
      </c>
      <c r="I23" s="64" t="n">
        <f aca="false">SUMPRODUCT(--('My order'!$B30:$B230="Erritmo"),--('My order'!$C30:$C230="Man"),--('My order'!$D30:$D230="XXXL"))</f>
        <v>0</v>
      </c>
      <c r="J23" s="65"/>
      <c r="K23" s="66" t="s">
        <v>292</v>
      </c>
      <c r="L23" s="64" t="n">
        <f aca="false">SUMPRODUCT(--('My order'!$B30:$B230="Erritmo"),--('My order'!$C30:$C230="Woman"),--('My order'!$D30:$D230="S"))</f>
        <v>0</v>
      </c>
      <c r="M23" s="64" t="n">
        <f aca="false">SUMPRODUCT(--('My order'!$B30:$B230="Erritmo"),--('My order'!$C30:$C230="Woman"),--('My order'!$D30:$D230="M"))</f>
        <v>0</v>
      </c>
      <c r="N23" s="64" t="n">
        <f aca="false">SUMPRODUCT(--('My order'!$B30:$B230="Erritmo"),--('My order'!$C30:$C230="Woman"),--('My order'!$D30:$D230="L"))</f>
        <v>0</v>
      </c>
      <c r="O23" s="64" t="n">
        <f aca="false">SUMPRODUCT(--('My order'!$B30:$B230="Erritmo"),--('My order'!$C30:$C230="Woman"),--('My order'!$D30:$D230="XL"))</f>
        <v>0</v>
      </c>
      <c r="P23" s="64" t="n">
        <f aca="false">SUMPRODUCT(--('My order'!$B30:$B230="Erritmo"),--('My order'!$C30:$C230="Woman"),--('My order'!$D30:$D230="XXL"))</f>
        <v>0</v>
      </c>
      <c r="R23" s="66" t="s">
        <v>292</v>
      </c>
      <c r="S23" s="64" t="n">
        <f aca="false">SUMPRODUCT(--('My order'!$B30:$B230="Erritmo"),--('My order'!$C30:$C230="Kid"),--('My order'!$D30:$D230=6))</f>
        <v>0</v>
      </c>
      <c r="T23" s="64" t="n">
        <f aca="false">SUMPRODUCT(--('My order'!$B30:$B230="Erritmo"),--('My order'!$C30:$C230="Kid"),--('My order'!$D30:$D230=8))</f>
        <v>0</v>
      </c>
      <c r="U23" s="64" t="n">
        <f aca="false">SUMPRODUCT(--('My order'!$B30:$B230="Erritmo"),--('My order'!$C30:$C230="Kid"),--('My order'!$D30:$D230=10))</f>
        <v>0</v>
      </c>
    </row>
    <row r="24" customFormat="false" ht="12.75" hidden="false" customHeight="false" outlineLevel="0" collapsed="false">
      <c r="B24" s="18" t="s">
        <v>293</v>
      </c>
      <c r="C24" s="64" t="n">
        <f aca="false">SUMPRODUCT(--('My order'!$B30:$B230="Iribazi"),--('My order'!$C30:$C230="Man"),--('My order'!$D30:$D230="XS"))</f>
        <v>0</v>
      </c>
      <c r="D24" s="64" t="n">
        <f aca="false">SUMPRODUCT(--('My order'!$B30:$B230="Iribazi"),--('My order'!$C30:$C230="Man"),--('My order'!$D30:$D230="S"))</f>
        <v>0</v>
      </c>
      <c r="E24" s="64" t="n">
        <f aca="false">SUMPRODUCT(--('My order'!$B30:$B230="Iribazi"),--('My order'!$C30:$C230="Man"),--('My order'!$D30:$D230="M"))</f>
        <v>0</v>
      </c>
      <c r="F24" s="64" t="n">
        <f aca="false">SUMPRODUCT(--('My order'!$B30:$B230="Iribazi"),--('My order'!$C30:$C230="Man"),--('My order'!$D30:$D230="L"))</f>
        <v>0</v>
      </c>
      <c r="G24" s="64" t="n">
        <f aca="false">SUMPRODUCT(--('My order'!$B30:$B230="Iribazi"),--('My order'!$C30:$C230="Man"),--('My order'!$D30:$D230="XL"))</f>
        <v>0</v>
      </c>
      <c r="H24" s="64" t="n">
        <f aca="false">SUMPRODUCT(--('My order'!$B30:$B230="Iribazi"),--('My order'!$C30:$C230="Man"),--('My order'!$D30:$D230="XXL"))</f>
        <v>0</v>
      </c>
      <c r="I24" s="64" t="n">
        <f aca="false">SUMPRODUCT(--('My order'!$B30:$B230="Iribazi"),--('My order'!$C30:$C230="Man"),--('My order'!$D30:$D230="XXXL"))</f>
        <v>0</v>
      </c>
      <c r="J24" s="65"/>
      <c r="K24" s="18" t="s">
        <v>293</v>
      </c>
      <c r="L24" s="64" t="n">
        <f aca="false">SUMPRODUCT(--('My order'!$B30:$B230="Iribazi"),--('My order'!$C30:$C230="Woman"),--('My order'!$D30:$D230="S"))</f>
        <v>0</v>
      </c>
      <c r="M24" s="64" t="n">
        <f aca="false">SUMPRODUCT(--('My order'!$B30:$B230="Iribazi"),--('My order'!$C30:$C230="Woman"),--('My order'!$D30:$D230="M"))</f>
        <v>0</v>
      </c>
      <c r="N24" s="64" t="n">
        <f aca="false">SUMPRODUCT(--('My order'!$B30:$B230="Iribazi"),--('My order'!$C30:$C230="Woman"),--('My order'!$D30:$D230="L"))</f>
        <v>0</v>
      </c>
      <c r="O24" s="64" t="n">
        <f aca="false">SUMPRODUCT(--('My order'!$B30:$B230="Iribazi"),--('My order'!$C30:$C230="Woman"),--('My order'!$D30:$D230="XL"))</f>
        <v>0</v>
      </c>
      <c r="P24" s="64" t="n">
        <f aca="false">SUMPRODUCT(--('My order'!$B30:$B230="Iribazi"),--('My order'!$C30:$C230="Woman"),--('My order'!$D30:$D230="XXL"))</f>
        <v>0</v>
      </c>
      <c r="R24" s="18" t="s">
        <v>293</v>
      </c>
      <c r="S24" s="64" t="n">
        <f aca="false">SUMPRODUCT(--('My order'!$B30:$B230="Iribazi"),--('My order'!$C30:$C230="Kid"),--('My order'!$D30:$D230=6))</f>
        <v>0</v>
      </c>
      <c r="T24" s="64" t="n">
        <f aca="false">SUMPRODUCT(--('My order'!$B30:$B230="Iribazi"),--('My order'!$C30:$C230="Kid"),--('My order'!$D30:$D230=8))</f>
        <v>0</v>
      </c>
      <c r="U24" s="64" t="n">
        <f aca="false">SUMPRODUCT(--('My order'!$B30:$B230="Iribazi"),--('My order'!$C30:$C230="Kid"),--('My order'!$D30:$D230=10))</f>
        <v>0</v>
      </c>
    </row>
    <row r="25" customFormat="false" ht="12.75" hidden="false" customHeight="false" outlineLevel="0" collapsed="false">
      <c r="B25" s="18" t="s">
        <v>295</v>
      </c>
      <c r="C25" s="64" t="n">
        <f aca="false">SUMPRODUCT(--('My order'!$B30:$B230="Jauzi"),--('My order'!$C30:$C230="Man"),--('My order'!$D30:$D230="XS"))</f>
        <v>0</v>
      </c>
      <c r="D25" s="64" t="n">
        <f aca="false">SUMPRODUCT(--('My order'!$B30:$B230="Jauzi"),--('My order'!$C30:$C230="Man"),--('My order'!$D30:$D230="S"))</f>
        <v>0</v>
      </c>
      <c r="E25" s="64" t="n">
        <f aca="false">SUMPRODUCT(--('My order'!$B30:$B230="Jauzi"),--('My order'!$C30:$C230="Man"),--('My order'!$D30:$D230="M"))</f>
        <v>0</v>
      </c>
      <c r="F25" s="64" t="n">
        <f aca="false">SUMPRODUCT(--('My order'!$B30:$B230="Jauzi"),--('My order'!$C30:$C230="Man"),--('My order'!$D30:$D230="L"))</f>
        <v>0</v>
      </c>
      <c r="G25" s="64" t="n">
        <f aca="false">SUMPRODUCT(--('My order'!$B30:$B230="Jauzi"),--('My order'!$C30:$C230="Man"),--('My order'!$D30:$D230="XL"))</f>
        <v>0</v>
      </c>
      <c r="H25" s="64" t="n">
        <f aca="false">SUMPRODUCT(--('My order'!$B30:$B230="Jauzi"),--('My order'!$C30:$C230="Man"),--('My order'!$D30:$D230="XXL"))</f>
        <v>0</v>
      </c>
      <c r="I25" s="64" t="n">
        <f aca="false">SUMPRODUCT(--('My order'!$B30:$B230="Jauzi"),--('My order'!$C30:$C230="Man"),--('My order'!$D30:$D230="XXXL"))</f>
        <v>0</v>
      </c>
      <c r="J25" s="65"/>
      <c r="K25" s="18" t="s">
        <v>295</v>
      </c>
      <c r="L25" s="64" t="n">
        <f aca="false">SUMPRODUCT(--('My order'!$B30:$B230="Jauzi"),--('My order'!$C30:$C230="Woman"),--('My order'!$D30:$D230="S"))</f>
        <v>0</v>
      </c>
      <c r="M25" s="64" t="n">
        <f aca="false">SUMPRODUCT(--('My order'!$B30:$B230="Jauzi"),--('My order'!$C30:$C230="Woman"),--('My order'!$D30:$D230="M"))</f>
        <v>0</v>
      </c>
      <c r="N25" s="64" t="n">
        <f aca="false">SUMPRODUCT(--('My order'!$B30:$B230="Jauzi"),--('My order'!$C30:$C230="Woman"),--('My order'!$D30:$D230="L"))</f>
        <v>0</v>
      </c>
      <c r="O25" s="64" t="n">
        <f aca="false">SUMPRODUCT(--('My order'!$B30:$B230="Jauzi"),--('My order'!$C30:$C230="Woman"),--('My order'!$D30:$D230="XL"))</f>
        <v>0</v>
      </c>
      <c r="P25" s="64" t="n">
        <f aca="false">SUMPRODUCT(--('My order'!$B30:$B230="Jauzi"),--('My order'!$C30:$C230="Woman"),--('My order'!$D30:$D230="XXL"))</f>
        <v>0</v>
      </c>
      <c r="R25" s="18" t="s">
        <v>295</v>
      </c>
      <c r="S25" s="64" t="n">
        <f aca="false">SUMPRODUCT(--('My order'!$B30:$B230="Jauzi"),--('My order'!$C30:$C230="Kid"),--('My order'!$D30:$D230=6))</f>
        <v>0</v>
      </c>
      <c r="T25" s="64" t="n">
        <f aca="false">SUMPRODUCT(--('My order'!$B30:$B230="Jauzi"),--('My order'!$C30:$C230="Kid"),--('My order'!$D30:$D230=8))</f>
        <v>0</v>
      </c>
      <c r="U25" s="64" t="n">
        <f aca="false">SUMPRODUCT(--('My order'!$B30:$B230="Jauzi"),--('My order'!$C30:$C230="Kid"),--('My order'!$D30:$D230=10))</f>
        <v>0</v>
      </c>
    </row>
    <row r="26" customFormat="false" ht="12.75" hidden="false" customHeight="false" outlineLevel="0" collapsed="false">
      <c r="B26" s="18" t="s">
        <v>50</v>
      </c>
      <c r="C26" s="64" t="n">
        <f aca="false">SUMPRODUCT(--('My order'!$B30:$B230="Ohiko"),--('My order'!$C30:$C230="Man"),--('My order'!$D30:$D230="XS"))</f>
        <v>0</v>
      </c>
      <c r="D26" s="64" t="n">
        <f aca="false">SUMPRODUCT(--('My order'!$B30:$B230="Ohiko"),--('My order'!$C30:$C230="Man"),--('My order'!$D30:$D230="S"))</f>
        <v>0</v>
      </c>
      <c r="E26" s="64" t="n">
        <f aca="false">SUMPRODUCT(--('My order'!$B30:$B230="Ohiko"),--('My order'!$C30:$C230="Man"),--('My order'!$D30:$D230="M"))</f>
        <v>0</v>
      </c>
      <c r="F26" s="64" t="n">
        <f aca="false">SUMPRODUCT(--('My order'!$B30:$B230="Ohiko"),--('My order'!$C30:$C230="Man"),--('My order'!$D30:$D230="L"))</f>
        <v>0</v>
      </c>
      <c r="G26" s="64" t="n">
        <f aca="false">SUMPRODUCT(--('My order'!$B30:$B230="Ohiko"),--('My order'!$C30:$C230="Man"),--('My order'!$D30:$D230="XL"))</f>
        <v>1</v>
      </c>
      <c r="H26" s="64" t="n">
        <f aca="false">SUMPRODUCT(--('My order'!$B30:$B230="Ohiko"),--('My order'!$C30:$C230="Man"),--('My order'!$D30:$D230="XXL"))</f>
        <v>0</v>
      </c>
      <c r="I26" s="64" t="n">
        <f aca="false">SUMPRODUCT(--('My order'!$B30:$B230="Ohiko"),--('My order'!$C30:$C230="Man"),--('My order'!$D30:$D230="XXXL"))</f>
        <v>0</v>
      </c>
      <c r="J26" s="65"/>
      <c r="K26" s="18" t="s">
        <v>50</v>
      </c>
      <c r="L26" s="64" t="n">
        <f aca="false">SUMPRODUCT(--('My order'!$B30:$B230="Ohiko"),--('My order'!$C30:$C230="Woman"),--('My order'!$D30:$D230="S"))</f>
        <v>0</v>
      </c>
      <c r="M26" s="64" t="n">
        <f aca="false">SUMPRODUCT(--('My order'!$B30:$B230="Ohiko"),--('My order'!$C30:$C230="Woman"),--('My order'!$D30:$D230="M"))</f>
        <v>0</v>
      </c>
      <c r="N26" s="64" t="n">
        <f aca="false">SUMPRODUCT(--('My order'!$B30:$B230="Ohiko"),--('My order'!$C30:$C230="Woman"),--('My order'!$D30:$D230="L"))</f>
        <v>0</v>
      </c>
      <c r="O26" s="64" t="n">
        <f aca="false">SUMPRODUCT(--('My order'!$B30:$B230="Ohiko"),--('My order'!$C30:$C230="Woman"),--('My order'!$D30:$D230="XL"))</f>
        <v>0</v>
      </c>
      <c r="P26" s="64" t="n">
        <f aca="false">SUMPRODUCT(--('My order'!$B30:$B230="Ohiko"),--('My order'!$C30:$C230="Woman"),--('My order'!$D30:$D230="XXL"))</f>
        <v>0</v>
      </c>
      <c r="R26" s="18" t="s">
        <v>50</v>
      </c>
      <c r="S26" s="64" t="n">
        <f aca="false">SUMPRODUCT(--('My order'!$B30:$B230="Ohiko"),--('My order'!$C30:$C230="Kid"),--('My order'!$D30:$D230=6))</f>
        <v>0</v>
      </c>
      <c r="T26" s="64" t="n">
        <f aca="false">SUMPRODUCT(--('My order'!$B30:$B230="Ohiko"),--('My order'!$C30:$C230="Kid"),--('My order'!$D30:$D230=8))</f>
        <v>0</v>
      </c>
      <c r="U26" s="64" t="n">
        <f aca="false">SUMPRODUCT(--('My order'!$B30:$B230="Ohiko"),--('My order'!$C30:$C230="Kid"),--('My order'!$D30:$D230=10))</f>
        <v>0</v>
      </c>
    </row>
    <row r="27" customFormat="false" ht="12.75" hidden="false" customHeight="false" outlineLevel="0" collapsed="false">
      <c r="B27" s="18" t="s">
        <v>305</v>
      </c>
      <c r="C27" s="64" t="n">
        <f aca="false">SUMPRODUCT(--('My order'!$B30:$B230="Tank"),--('My order'!$C30:$C230="Man"),--('My order'!$D30:$D230="XS"))</f>
        <v>0</v>
      </c>
      <c r="D27" s="64" t="n">
        <f aca="false">SUMPRODUCT(--('My order'!$B30:$B230="Tank"),--('My order'!$C30:$C230="Man"),--('My order'!$D30:$D230="S"))</f>
        <v>0</v>
      </c>
      <c r="E27" s="64" t="n">
        <f aca="false">SUMPRODUCT(--('My order'!$B30:$B230="Tank"),--('My order'!$C30:$C230="Man"),--('My order'!$D30:$D230="M"))</f>
        <v>0</v>
      </c>
      <c r="F27" s="64" t="n">
        <f aca="false">SUMPRODUCT(--('My order'!$B30:$B230="Tank"),--('My order'!$C30:$C230="Man"),--('My order'!$D30:$D230="L"))</f>
        <v>0</v>
      </c>
      <c r="G27" s="64" t="n">
        <f aca="false">SUMPRODUCT(--('My order'!$B30:$B230="Tank"),--('My order'!$C30:$C230="Man"),--('My order'!$D30:$D230="XL"))</f>
        <v>0</v>
      </c>
      <c r="H27" s="64" t="n">
        <f aca="false">SUMPRODUCT(--('My order'!$B30:$B230="Tank"),--('My order'!$C30:$C230="Man"),--('My order'!$D30:$D230="XXL"))</f>
        <v>0</v>
      </c>
      <c r="I27" s="64" t="n">
        <f aca="false">SUMPRODUCT(--('My order'!$B30:$B230="Tank"),--('My order'!$C30:$C230="Man"),--('My order'!$D30:$D230="XXXL"))</f>
        <v>0</v>
      </c>
      <c r="J27" s="65"/>
      <c r="K27" s="18" t="s">
        <v>305</v>
      </c>
      <c r="L27" s="64" t="n">
        <f aca="false">SUMPRODUCT(--('My order'!$B30:$B230="Tank"),--('My order'!$C30:$C230="Woman"),--('My order'!$D30:$D230="S"))</f>
        <v>0</v>
      </c>
      <c r="M27" s="64" t="n">
        <f aca="false">SUMPRODUCT(--('My order'!$B30:$B230="Tank"),--('My order'!$C30:$C230="Woman"),--('My order'!$D30:$D230="M"))</f>
        <v>0</v>
      </c>
      <c r="N27" s="64" t="n">
        <f aca="false">SUMPRODUCT(--('My order'!$B30:$B230="Tank"),--('My order'!$C30:$C230="Woman"),--('My order'!$D30:$D230="L"))</f>
        <v>0</v>
      </c>
      <c r="O27" s="64" t="n">
        <f aca="false">SUMPRODUCT(--('My order'!$B30:$B230="Tank"),--('My order'!$C30:$C230="Woman"),--('My order'!$D30:$D230="XL"))</f>
        <v>0</v>
      </c>
      <c r="P27" s="64" t="n">
        <f aca="false">SUMPRODUCT(--('My order'!$B30:$B230="Tank"),--('My order'!$C30:$C230="Woman"),--('My order'!$D30:$D230="XXL"))</f>
        <v>0</v>
      </c>
      <c r="R27" s="18" t="s">
        <v>305</v>
      </c>
      <c r="S27" s="64" t="n">
        <f aca="false">SUMPRODUCT(--('My order'!$B30:$B230="Tank"),--('My order'!$C30:$C230="Kid"),--('My order'!$D30:$D230=6))</f>
        <v>0</v>
      </c>
      <c r="T27" s="64" t="n">
        <f aca="false">SUMPRODUCT(--('My order'!$B30:$B230="Tank"),--('My order'!$C30:$C230="Kid"),--('My order'!$D30:$D230=8))</f>
        <v>0</v>
      </c>
      <c r="U27" s="64" t="n">
        <f aca="false">SUMPRODUCT(--('My order'!$B30:$B230="Tank"),--('My order'!$C30:$C230="Kid"),--('My order'!$D30:$D230=10))</f>
        <v>0</v>
      </c>
    </row>
    <row r="28" customFormat="false" ht="12.75" hidden="false" customHeight="false" outlineLevel="0" collapsed="false">
      <c r="B28" s="23" t="str">
        <f aca="false">IF('My order'!H2="English","Quantity by size","Quantité par taille")</f>
        <v>Quantity by size</v>
      </c>
      <c r="C28" s="24" t="n">
        <f aca="false">SUM(C15:C27)</f>
        <v>0</v>
      </c>
      <c r="D28" s="24" t="n">
        <f aca="false">SUM(D15:D27)</f>
        <v>0</v>
      </c>
      <c r="E28" s="24" t="n">
        <f aca="false">SUM(E15:E27)</f>
        <v>0</v>
      </c>
      <c r="F28" s="24" t="n">
        <f aca="false">SUM(F15:F27)</f>
        <v>0</v>
      </c>
      <c r="G28" s="24" t="n">
        <f aca="false">SUM(G15:G27)</f>
        <v>1</v>
      </c>
      <c r="H28" s="24" t="n">
        <f aca="false">SUM(H15:H27)</f>
        <v>0</v>
      </c>
      <c r="I28" s="24" t="n">
        <f aca="false">SUM(I15:I27)</f>
        <v>0</v>
      </c>
      <c r="J28" s="1"/>
      <c r="K28" s="23" t="str">
        <f aca="false">IF('My order'!H2="English","Quantity by size","Quantité par taille")</f>
        <v>Quantity by size</v>
      </c>
      <c r="L28" s="24" t="n">
        <f aca="false">SUM(L15:L27)</f>
        <v>0</v>
      </c>
      <c r="M28" s="24" t="n">
        <f aca="false">SUM(M15:M27)</f>
        <v>0</v>
      </c>
      <c r="N28" s="24" t="n">
        <f aca="false">SUM(N15:N27)</f>
        <v>0</v>
      </c>
      <c r="O28" s="24" t="n">
        <f aca="false">SUM(O15:O27)</f>
        <v>0</v>
      </c>
      <c r="P28" s="24" t="n">
        <f aca="false">SUM(P15:P27)</f>
        <v>0</v>
      </c>
      <c r="R28" s="23" t="str">
        <f aca="false">IF('My order'!H2="English","Quantity by size","Quantité par taille")</f>
        <v>Quantity by size</v>
      </c>
      <c r="S28" s="24" t="n">
        <f aca="false">SUM(S15:S27)</f>
        <v>0</v>
      </c>
      <c r="T28" s="24" t="n">
        <f aca="false">SUM(T15:T27)</f>
        <v>0</v>
      </c>
      <c r="U28" s="24" t="n">
        <f aca="false">SUM(U15:U27)</f>
        <v>0</v>
      </c>
    </row>
    <row r="29" customFormat="false" ht="12.75" hidden="false" customHeight="true" outlineLevel="0" collapsed="false">
      <c r="B29" s="68" t="str">
        <f aca="false">IF('My order'!H2="English","Total Men","Total Homme")</f>
        <v>Total Men</v>
      </c>
      <c r="C29" s="69" t="n">
        <f aca="false">SUM(C28:I28)</f>
        <v>1</v>
      </c>
      <c r="D29" s="69"/>
      <c r="E29" s="69"/>
      <c r="F29" s="69"/>
      <c r="G29" s="69"/>
      <c r="H29" s="69"/>
      <c r="I29" s="69"/>
      <c r="J29" s="70"/>
      <c r="K29" s="71" t="str">
        <f aca="false">IF('My order'!H2="English","Total Women","Total Femme")</f>
        <v>Total Women</v>
      </c>
      <c r="L29" s="69" t="n">
        <f aca="false">SUM(L28:P28)</f>
        <v>0</v>
      </c>
      <c r="M29" s="69"/>
      <c r="N29" s="69"/>
      <c r="O29" s="69"/>
      <c r="P29" s="69"/>
      <c r="R29" s="71" t="str">
        <f aca="false">IF('My order'!H2="English","Total Kids","Total Enfant")</f>
        <v>Total Kids</v>
      </c>
      <c r="S29" s="69" t="n">
        <f aca="false">SUM(S28:U28)</f>
        <v>0</v>
      </c>
      <c r="T29" s="69"/>
      <c r="U29" s="69"/>
    </row>
    <row r="31" customFormat="false" ht="12.75" hidden="false" customHeight="false" outlineLevel="0" collapsed="false">
      <c r="B31" s="60"/>
      <c r="C31" s="60"/>
      <c r="D31" s="60"/>
      <c r="E31" s="60"/>
      <c r="F31" s="60"/>
      <c r="G31" s="60"/>
      <c r="H31" s="60"/>
    </row>
    <row r="32" customFormat="false" ht="12.75" hidden="false" customHeight="false" outlineLevel="0" collapsed="false">
      <c r="B32" s="72" t="s">
        <v>320</v>
      </c>
      <c r="C32" s="72"/>
      <c r="D32" s="72"/>
      <c r="E32" s="72"/>
      <c r="F32" s="72"/>
      <c r="G32" s="72"/>
      <c r="H32" s="72"/>
      <c r="I32" s="72"/>
      <c r="J32" s="72"/>
      <c r="R32" s="55" t="str">
        <f aca="false">IF('My order'!H2="English","Accessories","Accessoires")</f>
        <v>Accessories</v>
      </c>
      <c r="S32" s="55"/>
      <c r="T32" s="55"/>
    </row>
    <row r="33" customFormat="false" ht="12.75" hidden="false" customHeight="false" outlineLevel="0" collapsed="false">
      <c r="B33" s="58" t="str">
        <f aca="false">IF('My order'!H2="English","Product","Produit")</f>
        <v>Product</v>
      </c>
      <c r="C33" s="59" t="str">
        <f aca="false">IF('My order'!H2="English","Quantity","Quantité")</f>
        <v>Quantity</v>
      </c>
      <c r="D33" s="59"/>
      <c r="E33" s="59"/>
      <c r="F33" s="59"/>
      <c r="G33" s="59"/>
      <c r="H33" s="59"/>
      <c r="I33" s="59"/>
      <c r="J33" s="59"/>
      <c r="R33" s="73" t="str">
        <f aca="false">IF('My order'!H2="English","Product","Produit")</f>
        <v>Product</v>
      </c>
      <c r="S33" s="59" t="str">
        <f aca="false">IF('My order'!H2="English","Quantity","Quantité")</f>
        <v>Quantity</v>
      </c>
      <c r="T33" s="59"/>
    </row>
    <row r="34" customFormat="false" ht="12.75" hidden="false" customHeight="false" outlineLevel="0" collapsed="false">
      <c r="B34" s="58"/>
      <c r="C34" s="61" t="str">
        <f aca="false">IF('My order'!H2="English","6 yo","6 ans")</f>
        <v>6 yo</v>
      </c>
      <c r="D34" s="61" t="str">
        <f aca="false">IF('My order'!H2="English","8 yo","8 ans")</f>
        <v>8 yo</v>
      </c>
      <c r="E34" s="61" t="s">
        <v>277</v>
      </c>
      <c r="F34" s="61" t="s">
        <v>278</v>
      </c>
      <c r="G34" s="61" t="s">
        <v>283</v>
      </c>
      <c r="H34" s="61" t="s">
        <v>288</v>
      </c>
      <c r="I34" s="61" t="s">
        <v>52</v>
      </c>
      <c r="J34" s="61" t="s">
        <v>291</v>
      </c>
      <c r="R34" s="73"/>
      <c r="S34" s="74" t="s">
        <v>279</v>
      </c>
      <c r="T34" s="74" t="s">
        <v>284</v>
      </c>
    </row>
    <row r="35" customFormat="false" ht="12.75" hidden="false" customHeight="false" outlineLevel="0" collapsed="false">
      <c r="B35" s="66" t="s">
        <v>321</v>
      </c>
      <c r="C35" s="64" t="n">
        <f aca="false">SUMPRODUCT(--('My order'!$B30:$B230="Short"),--('My order'!$C30:$C230="Long"),--('My order'!$D30:$D230=6))</f>
        <v>0</v>
      </c>
      <c r="D35" s="64" t="n">
        <f aca="false">SUMPRODUCT(--('My order'!$B30:$B230="Short"),--('My order'!$C30:$C230="Long"),--('My order'!$D30:$D230=8))</f>
        <v>0</v>
      </c>
      <c r="E35" s="64" t="n">
        <f aca="false">SUMPRODUCT(--('My order'!$B30:$B230="Short"),--('My order'!$C30:$C230="Long"),--('My order'!$D30:$D230="XS"))</f>
        <v>0</v>
      </c>
      <c r="F35" s="64" t="n">
        <f aca="false">SUMPRODUCT(--('My order'!$B30:$B230="Short"),--('My order'!$C30:$C230="Long"),--('My order'!$D30:$D230="S"))</f>
        <v>0</v>
      </c>
      <c r="G35" s="64" t="n">
        <f aca="false">SUMPRODUCT(--('My order'!$B30:$B230="Short"),--('My order'!$C30:$C230="Long"),--('My order'!$D30:$D230="M"))</f>
        <v>0</v>
      </c>
      <c r="H35" s="64" t="n">
        <f aca="false">SUMPRODUCT(--('My order'!$B30:$B230="Short"),--('My order'!$C30:$C230="Long"),--('My order'!$D30:$D230="L"))</f>
        <v>0</v>
      </c>
      <c r="I35" s="75" t="n">
        <f aca="false">SUMPRODUCT(--('My order'!$B30:$B230="Short"),--('My order'!$C30:$C230="Long"),--('My order'!$D30:$D230="XL"))</f>
        <v>0</v>
      </c>
      <c r="J35" s="75" t="n">
        <f aca="false">SUMPRODUCT(--('My order'!$B30:$B230="Short"),--('My order'!$C30:$C230="Long"),--('My order'!$D30:$D230="XXL"))</f>
        <v>0</v>
      </c>
      <c r="R35" s="66" t="str">
        <f aca="false">IF('My order'!H2="English","Sleeves Men","Manches Homme")</f>
        <v>Sleeves Men</v>
      </c>
      <c r="S35" s="64" t="n">
        <f aca="false">SUMPRODUCT(--('My order'!$B30:$B230="Compression_Sleeves"),--('My order'!$C30:$C230="Man"),--('My order'!$D30:$D230="S-M"))</f>
        <v>0</v>
      </c>
      <c r="T35" s="64" t="n">
        <f aca="false">SUMPRODUCT(--('My order'!$B30:$B230="Compression_Sleeves"),--('My order'!$C30:$C230="Man"),--('My order'!$D30:$D230="L-XL"))</f>
        <v>0</v>
      </c>
    </row>
    <row r="36" customFormat="false" ht="12.75" hidden="false" customHeight="false" outlineLevel="0" collapsed="false">
      <c r="B36" s="66" t="s">
        <v>322</v>
      </c>
      <c r="C36" s="64" t="n">
        <f aca="false">SUMPRODUCT(--('My order'!$B30:$B230="Short"),--('My order'!$C30:$C230="Multisport"),--('My order'!$D30:$D230=6))</f>
        <v>0</v>
      </c>
      <c r="D36" s="64" t="n">
        <f aca="false">SUMPRODUCT(--('My order'!$B30:$B230="Short"),--('My order'!$C30:$C230="Multisport"),--('My order'!$D30:$D230=8))</f>
        <v>0</v>
      </c>
      <c r="E36" s="64" t="n">
        <f aca="false">SUMPRODUCT(--('My order'!$B30:$B230="Short"),--('My order'!$C30:$C230="Multisport"),--('My order'!$D30:$D230="XS"))</f>
        <v>0</v>
      </c>
      <c r="F36" s="64" t="n">
        <f aca="false">SUMPRODUCT(--('My order'!$B30:$B230="Short"),--('My order'!$C30:$C230="Multisport"),--('My order'!$D30:$D230="S"))</f>
        <v>0</v>
      </c>
      <c r="G36" s="64" t="n">
        <f aca="false">SUMPRODUCT(--('My order'!$B30:$B230="Short"),--('My order'!$C30:$C230="Multisport"),--('My order'!$D30:$D230="M"))</f>
        <v>0</v>
      </c>
      <c r="H36" s="64" t="n">
        <f aca="false">SUMPRODUCT(--('My order'!$B30:$B230="Short"),--('My order'!$C30:$C230="Multisport"),--('My order'!$D30:$D230="L"))</f>
        <v>0</v>
      </c>
      <c r="I36" s="75" t="n">
        <f aca="false">SUMPRODUCT(--('My order'!$B30:$B230="Short"),--('My order'!$C30:$C230="Multisport"),--('My order'!$D30:$D230="XL"))</f>
        <v>0</v>
      </c>
      <c r="J36" s="75" t="n">
        <f aca="false">SUMPRODUCT(--('My order'!$B30:$B230="Short"),--('My order'!$C30:$C230="Multisport"),--('My order'!$D30:$D230="XXL"))</f>
        <v>0</v>
      </c>
      <c r="R36" s="66" t="str">
        <f aca="false">IF('My order'!H2="English","Sleeves Women","Manches Femme")</f>
        <v>Sleeves Women</v>
      </c>
      <c r="S36" s="76" t="n">
        <f aca="false">SUMPRODUCT(--('My order'!$B30:$B230="Compression_Sleeves"),--('My order'!$C30:$C230="Woman"),--('My order'!$D30:$D230="S-M"))</f>
        <v>0</v>
      </c>
      <c r="T36" s="76" t="n">
        <f aca="false">SUMPRODUCT(--('My order'!$B30:$B230="Compression_Sleeves"),--('My order'!$C30:$C230="Woman"),--('My order'!$D30:$D230="L-XL"))</f>
        <v>0</v>
      </c>
    </row>
    <row r="37" customFormat="false" ht="12.75" hidden="false" customHeight="false" outlineLevel="0" collapsed="false">
      <c r="B37" s="71" t="s">
        <v>323</v>
      </c>
      <c r="C37" s="69" t="n">
        <f aca="false">SUM(C35:J36)</f>
        <v>0</v>
      </c>
      <c r="D37" s="69"/>
      <c r="E37" s="69"/>
      <c r="F37" s="69"/>
      <c r="G37" s="69"/>
      <c r="H37" s="69"/>
      <c r="I37" s="69"/>
      <c r="J37" s="69"/>
      <c r="R37" s="77" t="str">
        <f aca="false">IF('My order'!H2="English","Total Sleeves","Total Manches")</f>
        <v>Total Sleeves</v>
      </c>
      <c r="S37" s="69" t="n">
        <f aca="false">SUM(S35:T36)</f>
        <v>0</v>
      </c>
      <c r="T37" s="69"/>
    </row>
    <row r="38" customFormat="false" ht="12.75" hidden="false" customHeight="false" outlineLevel="0" collapsed="false">
      <c r="B38" s="78"/>
      <c r="C38" s="70"/>
      <c r="D38" s="70"/>
      <c r="E38" s="70"/>
      <c r="F38" s="70"/>
      <c r="G38" s="70"/>
      <c r="H38" s="70"/>
      <c r="I38" s="70"/>
      <c r="J38" s="70"/>
      <c r="R38" s="66" t="str">
        <f aca="false">IF('My order'!H2="English","Black Cap","Casquette Noire")</f>
        <v>Black Cap</v>
      </c>
      <c r="S38" s="64" t="n">
        <f aca="false">SUMPRODUCT(--('My order'!$B30:$B230="Cap"),--('My order'!$C30:$C230="Black"))</f>
        <v>0</v>
      </c>
      <c r="T38" s="64"/>
    </row>
    <row r="39" customFormat="false" ht="12.75" hidden="false" customHeight="false" outlineLevel="0" collapsed="false">
      <c r="B39" s="78"/>
      <c r="C39" s="70"/>
      <c r="D39" s="70"/>
      <c r="E39" s="70"/>
      <c r="F39" s="70"/>
      <c r="G39" s="70"/>
      <c r="H39" s="70"/>
      <c r="I39" s="70"/>
      <c r="J39" s="70"/>
      <c r="R39" s="66" t="str">
        <f aca="false">IF('My order'!H2="English","Blue Cap","Casquette Bleue")</f>
        <v>Blue Cap</v>
      </c>
      <c r="S39" s="64" t="n">
        <f aca="false">SUMPRODUCT(--('My order'!$B30:$B230="Cap"),--('My order'!$C30:$C230="Blue"))</f>
        <v>0</v>
      </c>
      <c r="T39" s="64"/>
    </row>
    <row r="40" customFormat="false" ht="12.75" hidden="false" customHeight="false" outlineLevel="0" collapsed="false">
      <c r="E40" s="79"/>
      <c r="F40" s="79"/>
      <c r="G40" s="79"/>
      <c r="H40" s="79"/>
      <c r="I40" s="79"/>
      <c r="J40" s="79"/>
      <c r="R40" s="66" t="str">
        <f aca="false">IF('My order'!H2="English","Green Cap","Casquette Verte")</f>
        <v>Green Cap</v>
      </c>
      <c r="S40" s="64" t="n">
        <f aca="false">SUMPRODUCT(--('My order'!$B30:$B230="Cap"),--('My order'!$C30:$C230="Green"))</f>
        <v>0</v>
      </c>
      <c r="T40" s="64"/>
    </row>
    <row r="41" customFormat="false" ht="12.75" hidden="false" customHeight="false" outlineLevel="0" collapsed="false">
      <c r="E41" s="80"/>
      <c r="F41" s="80"/>
      <c r="G41" s="80"/>
      <c r="H41" s="80"/>
      <c r="I41" s="80"/>
      <c r="J41" s="80"/>
      <c r="R41" s="66" t="str">
        <f aca="false">IF('My order'!H2="English","Grey Cap","Casquette Grise")</f>
        <v>Grey Cap</v>
      </c>
      <c r="S41" s="64" t="n">
        <f aca="false">SUMPRODUCT(--('My order'!$B30:$B230="Cap"),--('My order'!$C30:$C230="Grey"))</f>
        <v>0</v>
      </c>
      <c r="T41" s="64"/>
    </row>
    <row r="42" customFormat="false" ht="12.75" hidden="false" customHeight="false" outlineLevel="0" collapsed="false">
      <c r="E42" s="60"/>
      <c r="F42" s="60"/>
      <c r="G42" s="81"/>
      <c r="H42" s="81"/>
      <c r="I42" s="81"/>
      <c r="J42" s="81"/>
      <c r="R42" s="66" t="str">
        <f aca="false">IF('My order'!H2="English","Pink Cap","Casquette Rose")</f>
        <v>Pink Cap</v>
      </c>
      <c r="S42" s="64" t="n">
        <f aca="false">SUMPRODUCT(--('My order'!$B30:$B230="Cap"),--('My order'!$C30:$C230="Pink"))</f>
        <v>0</v>
      </c>
      <c r="T42" s="64"/>
    </row>
    <row r="43" customFormat="false" ht="12.75" hidden="false" customHeight="false" outlineLevel="0" collapsed="false">
      <c r="E43" s="60"/>
      <c r="F43" s="60"/>
      <c r="G43" s="81"/>
      <c r="H43" s="81"/>
      <c r="I43" s="81"/>
      <c r="J43" s="81"/>
      <c r="R43" s="77" t="str">
        <f aca="false">IF('My order'!H2="English","Total Caps","Total Casquettes")</f>
        <v>Total Caps</v>
      </c>
      <c r="S43" s="69" t="n">
        <f aca="false">SUM(S38:S42)</f>
        <v>0</v>
      </c>
      <c r="T43" s="69"/>
    </row>
    <row r="44" customFormat="false" ht="12.75" hidden="false" customHeight="false" outlineLevel="0" collapsed="false">
      <c r="E44" s="81"/>
      <c r="F44" s="81"/>
      <c r="G44" s="81"/>
      <c r="H44" s="81"/>
      <c r="I44" s="81"/>
      <c r="J44" s="81"/>
      <c r="R44" s="66" t="str">
        <f aca="false">IF('My order'!H2="English","Flag 150x85","Drapeau 150x85")</f>
        <v>Flag 150x85</v>
      </c>
      <c r="S44" s="64" t="n">
        <f aca="false">SUMPRODUCT(--('My order'!$B30:$B230="Flag"),--('My order'!$D30:$D230="150x85"))</f>
        <v>0</v>
      </c>
      <c r="T44" s="64"/>
    </row>
    <row r="45" customFormat="false" ht="12.75" hidden="false" customHeight="false" outlineLevel="0" collapsed="false">
      <c r="E45" s="82"/>
      <c r="F45" s="82"/>
      <c r="G45" s="82"/>
      <c r="H45" s="82"/>
      <c r="I45" s="82"/>
      <c r="J45" s="82"/>
      <c r="R45" s="66" t="str">
        <f aca="false">IF('My order'!H2="English","Flag 134x123","Drapeau 134x123")</f>
        <v>Flag 134x123</v>
      </c>
      <c r="S45" s="64" t="n">
        <f aca="false">SUMPRODUCT(--('My order'!$B30:$B230="Flag"),--('My order'!$D30:$D230="134x123"))</f>
        <v>0</v>
      </c>
      <c r="T45" s="64"/>
    </row>
    <row r="46" customFormat="false" ht="12.75" hidden="false" customHeight="false" outlineLevel="0" collapsed="false">
      <c r="R46" s="77" t="str">
        <f aca="false">IF('My order'!H2="English","Total Flags","Total Drapeaux")</f>
        <v>Total Flags</v>
      </c>
      <c r="S46" s="69" t="n">
        <f aca="false">SUM(S44:S45)</f>
        <v>0</v>
      </c>
      <c r="T46" s="69"/>
    </row>
    <row r="47" customFormat="false" ht="12.75" hidden="false" customHeight="false" outlineLevel="0" collapsed="false">
      <c r="R47" s="83" t="str">
        <f aca="false">IF('My order'!H2="English","Total Accessories","Total Accessoires")</f>
        <v>Total Accessories</v>
      </c>
      <c r="S47" s="84" t="n">
        <f aca="false">SUM(S37+S43+S46)</f>
        <v>0</v>
      </c>
      <c r="T47" s="84"/>
    </row>
  </sheetData>
  <mergeCells count="31">
    <mergeCell ref="B2:M5"/>
    <mergeCell ref="B12:I12"/>
    <mergeCell ref="K12:P12"/>
    <mergeCell ref="R12:U12"/>
    <mergeCell ref="B13:B14"/>
    <mergeCell ref="C13:I13"/>
    <mergeCell ref="K13:K14"/>
    <mergeCell ref="L13:P13"/>
    <mergeCell ref="R13:R14"/>
    <mergeCell ref="S13:U13"/>
    <mergeCell ref="C29:I29"/>
    <mergeCell ref="L29:P29"/>
    <mergeCell ref="S29:U29"/>
    <mergeCell ref="B32:J32"/>
    <mergeCell ref="R32:T32"/>
    <mergeCell ref="B33:B34"/>
    <mergeCell ref="C33:J33"/>
    <mergeCell ref="R33:R34"/>
    <mergeCell ref="S33:T33"/>
    <mergeCell ref="C37:J37"/>
    <mergeCell ref="S37:T37"/>
    <mergeCell ref="S38:T38"/>
    <mergeCell ref="S39:T39"/>
    <mergeCell ref="S40:T40"/>
    <mergeCell ref="S41:T41"/>
    <mergeCell ref="S42:T42"/>
    <mergeCell ref="S43:T43"/>
    <mergeCell ref="S44:T44"/>
    <mergeCell ref="S45:T45"/>
    <mergeCell ref="S46:T46"/>
    <mergeCell ref="S47:T47"/>
  </mergeCells>
  <dataValidations count="2">
    <dataValidation allowBlank="true" operator="between" showDropDown="false" showErrorMessage="true" showInputMessage="false" sqref="B28 K28 R28" type="list">
      <formula1>INDIRECT($B28)</formula1>
      <formula2>0</formula2>
    </dataValidation>
    <dataValidation allowBlank="true" operator="between" prompt="Sélectionnez le type de produit" showDropDown="false" showErrorMessage="true" showInputMessage="true" sqref="J11 A31" type="list">
      <formula1>$B$260:$B$266</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2018-05-08T16:21:16Z</dcterms:created>
  <dc:creator>stefan</dc:creator>
  <dc:description/>
  <dc:language>de-DE</dc:language>
  <cp:lastModifiedBy/>
  <dcterms:modified xsi:type="dcterms:W3CDTF">2021-07-01T17:38:04Z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